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01" firstSheet="2" activeTab="6"/>
  </bookViews>
  <sheets>
    <sheet name="1sz.mérleg" sheetId="1" r:id="rId1"/>
    <sheet name="2.sz.bevétel_" sheetId="2" r:id="rId2"/>
    <sheet name="3.sz. bev. gazdálkodónként" sheetId="3" r:id="rId3"/>
    <sheet name="4.sz.állami tám." sheetId="4" r:id="rId4"/>
    <sheet name="5.sz. kiadás" sheetId="5" r:id="rId5"/>
    <sheet name="6.sz.kiadás gazdálkodónként" sheetId="6" r:id="rId6"/>
    <sheet name="7.sz.Önk_műk_kiadás_feladat " sheetId="7" r:id="rId7"/>
    <sheet name="8.sz.támogatás " sheetId="8" r:id="rId8"/>
    <sheet name="9.sz.tartalék" sheetId="9" r:id="rId9"/>
    <sheet name="10.sz._ Önk_beruh " sheetId="10" r:id="rId10"/>
    <sheet name="11.sz. létszám" sheetId="11" r:id="rId11"/>
    <sheet name="12.sz. ei. felh. ütemterv" sheetId="12" r:id="rId12"/>
    <sheet name="13.sz. közvetett támogatások" sheetId="13" r:id="rId13"/>
    <sheet name="14.sz. többéves" sheetId="14" r:id="rId14"/>
    <sheet name="15.sz. pályázatok" sheetId="15" r:id="rId15"/>
  </sheets>
  <externalReferences>
    <externalReference r:id="rId18"/>
    <externalReference r:id="rId19"/>
    <externalReference r:id="rId20"/>
  </externalReferences>
  <definedNames>
    <definedName name="Excel_BuiltIn_Print_Area_109_1">'10.sz._ Önk_beruh '!$A$8:$B$28</definedName>
    <definedName name="Excel_BuiltIn_Print_Area_14_1" localSheetId="9">#REF!</definedName>
    <definedName name="Excel_BuiltIn_Print_Area_14_1" localSheetId="10">#REF!</definedName>
    <definedName name="Excel_BuiltIn_Print_Area_14_1" localSheetId="12">#REF!</definedName>
    <definedName name="Excel_BuiltIn_Print_Area_14_1">#REF!</definedName>
    <definedName name="Excel_BuiltIn_Print_Area_14_1_1" localSheetId="9">#REF!</definedName>
    <definedName name="Excel_BuiltIn_Print_Area_14_1_1" localSheetId="10">#REF!</definedName>
    <definedName name="Excel_BuiltIn_Print_Area_14_1_1" localSheetId="12">#REF!</definedName>
    <definedName name="Excel_BuiltIn_Print_Area_14_1_1">#REF!</definedName>
    <definedName name="Excel_BuiltIn_Print_Area_29_1" localSheetId="9">#REF!</definedName>
    <definedName name="Excel_BuiltIn_Print_Area_29_1" localSheetId="10">#REF!</definedName>
    <definedName name="Excel_BuiltIn_Print_Area_29_1" localSheetId="12">#REF!</definedName>
    <definedName name="Excel_BuiltIn_Print_Area_29_1">#REF!</definedName>
    <definedName name="Excel_BuiltIn_Print_Area_29_1_1" localSheetId="9">#REF!</definedName>
    <definedName name="Excel_BuiltIn_Print_Area_29_1_1" localSheetId="10">#REF!</definedName>
    <definedName name="Excel_BuiltIn_Print_Area_29_1_1" localSheetId="12">#REF!</definedName>
    <definedName name="Excel_BuiltIn_Print_Area_29_1_1">#REF!</definedName>
    <definedName name="Excel_BuiltIn_Print_Area_31_1" localSheetId="9">#REF!</definedName>
    <definedName name="Excel_BuiltIn_Print_Area_31_1" localSheetId="10">#REF!</definedName>
    <definedName name="Excel_BuiltIn_Print_Area_31_1" localSheetId="12">#REF!</definedName>
    <definedName name="Excel_BuiltIn_Print_Area_31_1">#REF!</definedName>
    <definedName name="Excel_BuiltIn_Print_Area_32_1" localSheetId="9">#REF!</definedName>
    <definedName name="Excel_BuiltIn_Print_Area_32_1" localSheetId="10">#REF!</definedName>
    <definedName name="Excel_BuiltIn_Print_Area_32_1" localSheetId="12">#REF!</definedName>
    <definedName name="Excel_BuiltIn_Print_Area_32_1">#REF!</definedName>
    <definedName name="Excel_BuiltIn_Print_Area_34_1" localSheetId="9">#REF!</definedName>
    <definedName name="Excel_BuiltIn_Print_Area_34_1" localSheetId="10">#REF!</definedName>
    <definedName name="Excel_BuiltIn_Print_Area_34_1" localSheetId="12">#REF!</definedName>
    <definedName name="Excel_BuiltIn_Print_Area_34_1">#REF!</definedName>
    <definedName name="Excel_BuiltIn_Print_Area_37_1" localSheetId="9">#REF!</definedName>
    <definedName name="Excel_BuiltIn_Print_Area_37_1" localSheetId="10">#REF!</definedName>
    <definedName name="Excel_BuiltIn_Print_Area_37_1" localSheetId="12">#REF!</definedName>
    <definedName name="Excel_BuiltIn_Print_Area_37_1">#REF!</definedName>
    <definedName name="Excel_BuiltIn_Print_Area_55_1" localSheetId="9">#REF!</definedName>
    <definedName name="Excel_BuiltIn_Print_Area_55_1" localSheetId="10">#REF!</definedName>
    <definedName name="Excel_BuiltIn_Print_Area_55_1" localSheetId="12">#REF!</definedName>
    <definedName name="Excel_BuiltIn_Print_Area_55_1">#REF!</definedName>
    <definedName name="intletszam">#REF!</definedName>
    <definedName name="letszam">#REF!</definedName>
    <definedName name="letszam_int">#REF!</definedName>
    <definedName name="_xlnm.Print_Titles" localSheetId="9">'10.sz._ Önk_beruh '!$7:$7</definedName>
    <definedName name="_xlnm.Print_Titles" localSheetId="14">'15.sz. pályázatok'!$4:$4</definedName>
    <definedName name="_xlnm.Print_Titles" localSheetId="7">'8.sz.támogatás '!$5:$5</definedName>
    <definedName name="_xlnm.Print_Area" localSheetId="9">'10.sz._ Önk_beruh '!$A$1:$C$142</definedName>
    <definedName name="_xlnm.Print_Area" localSheetId="10">'11.sz. létszám'!$A$1:$I$48</definedName>
    <definedName name="_xlnm.Print_Area" localSheetId="11">'12.sz. ei. felh. ütemterv'!$A$1:$N$27</definedName>
    <definedName name="_xlnm.Print_Area" localSheetId="12">'13.sz. közvetett támogatások'!$A$1:$E$13</definedName>
    <definedName name="_xlnm.Print_Area" localSheetId="13">'14.sz. többéves'!$A$1:$E$38</definedName>
    <definedName name="_xlnm.Print_Area" localSheetId="0">'1sz.mérleg'!$A$1:$F$35</definedName>
    <definedName name="_xlnm.Print_Area" localSheetId="1">'2.sz.bevétel_'!$A$1:$G$49</definedName>
    <definedName name="_xlnm.Print_Area" localSheetId="3">'4.sz.állami tám.'!$A$1:$E$37</definedName>
    <definedName name="_xlnm.Print_Area" localSheetId="4">'5.sz. kiadás'!$A$1:$G$29</definedName>
    <definedName name="_xlnm.Print_Area" localSheetId="5">'6.sz.kiadás gazdálkodónként'!$A$1:$AD$32</definedName>
    <definedName name="_xlnm.Print_Area" localSheetId="6">'7.sz.Önk_műk_kiadás_feladat '!$A$1:$K$70</definedName>
    <definedName name="_xlnm.Print_Area" localSheetId="7">'8.sz.támogatás '!$A$1:$C$96</definedName>
    <definedName name="_xlnm.Print_Area" localSheetId="8">'9.sz.tartalék'!$A$1:$C$20</definedName>
    <definedName name="pm" localSheetId="9">#REF!</definedName>
    <definedName name="pm" localSheetId="10">#REF!</definedName>
    <definedName name="pm" localSheetId="12">#REF!</definedName>
    <definedName name="pm">#REF!</definedName>
    <definedName name="pmg">#REF!</definedName>
  </definedNames>
  <calcPr fullCalcOnLoad="1"/>
</workbook>
</file>

<file path=xl/sharedStrings.xml><?xml version="1.0" encoding="utf-8"?>
<sst xmlns="http://schemas.openxmlformats.org/spreadsheetml/2006/main" count="1138" uniqueCount="841">
  <si>
    <t>Dunakeszi Város Önkormányzata</t>
  </si>
  <si>
    <t>Önkormányzatok működési támogatásai</t>
  </si>
  <si>
    <t>Közhatalmi bevételek</t>
  </si>
  <si>
    <t>Működési bevételek</t>
  </si>
  <si>
    <t>Felhalmozási bevételek</t>
  </si>
  <si>
    <t>Vagyoni tipusú adók</t>
  </si>
  <si>
    <t>Értékesítési és forgalmi adók</t>
  </si>
  <si>
    <t>Egyéb közhatalmi bevételek</t>
  </si>
  <si>
    <t>Kiszámlázott ÁFA</t>
  </si>
  <si>
    <t>Finanszírozási bevételek</t>
  </si>
  <si>
    <t>Felhalmozási célú átvett pénzeszközök</t>
  </si>
  <si>
    <t>F e l a d a t o k</t>
  </si>
  <si>
    <t>Bevételek</t>
  </si>
  <si>
    <t xml:space="preserve"> </t>
  </si>
  <si>
    <t>A</t>
  </si>
  <si>
    <t xml:space="preserve">Kötelező feladatok </t>
  </si>
  <si>
    <t>013350</t>
  </si>
  <si>
    <t>045120</t>
  </si>
  <si>
    <t>045140</t>
  </si>
  <si>
    <t>045170</t>
  </si>
  <si>
    <t>Háziorvosi alapellátás</t>
  </si>
  <si>
    <t>081030</t>
  </si>
  <si>
    <t>I.</t>
  </si>
  <si>
    <t>Ssz.</t>
  </si>
  <si>
    <t>jogcíme</t>
  </si>
  <si>
    <t>1.</t>
  </si>
  <si>
    <t>B1</t>
  </si>
  <si>
    <t>2.</t>
  </si>
  <si>
    <t>B111</t>
  </si>
  <si>
    <t>B112</t>
  </si>
  <si>
    <t xml:space="preserve">Települési önk. egyes köznevelési feladatainak támogatása </t>
  </si>
  <si>
    <t>4.</t>
  </si>
  <si>
    <t>5.</t>
  </si>
  <si>
    <t>B114</t>
  </si>
  <si>
    <t>Összesen</t>
  </si>
  <si>
    <t>B16</t>
  </si>
  <si>
    <t>B2</t>
  </si>
  <si>
    <t>Felhalmozási célú önkormányzati támogatások ÁH belül</t>
  </si>
  <si>
    <t>B25</t>
  </si>
  <si>
    <t>B3</t>
  </si>
  <si>
    <t>B34</t>
  </si>
  <si>
    <t>B36</t>
  </si>
  <si>
    <t>B4</t>
  </si>
  <si>
    <t>B402</t>
  </si>
  <si>
    <t>Szolgáltatások ellenértéke</t>
  </si>
  <si>
    <t>B403</t>
  </si>
  <si>
    <t>Közvetített szolgáltatások ellenértéke</t>
  </si>
  <si>
    <t>B406</t>
  </si>
  <si>
    <t>B408</t>
  </si>
  <si>
    <t>Kamatbevételek</t>
  </si>
  <si>
    <t>B5</t>
  </si>
  <si>
    <t>B6</t>
  </si>
  <si>
    <t>Működési célú átvett pénzeszközök ÁH kívülről</t>
  </si>
  <si>
    <t xml:space="preserve">Egyéb működési célú átvett pénzeszközök </t>
  </si>
  <si>
    <t>B7</t>
  </si>
  <si>
    <t>B75</t>
  </si>
  <si>
    <t>Egyéb felhalmozási célú átvett pénzeszköz</t>
  </si>
  <si>
    <t>Költségvetési bevételek összesen</t>
  </si>
  <si>
    <t>B8</t>
  </si>
  <si>
    <t>Forgatási célú belf. értékpapírok beváltása</t>
  </si>
  <si>
    <t>B813</t>
  </si>
  <si>
    <t>Költségvetési maradvány igénybevétele</t>
  </si>
  <si>
    <t xml:space="preserve">B E V É T E L E K   Ö S S Z E S E N </t>
  </si>
  <si>
    <t>( adatok forintban)</t>
  </si>
  <si>
    <t>3.sz. melléklet</t>
  </si>
  <si>
    <t>Önkormányzati fejlesztési feladatok</t>
  </si>
  <si>
    <t>Helyi közutak, közterek és parkok</t>
  </si>
  <si>
    <t>Településrendezés, településfejlesztés</t>
  </si>
  <si>
    <t>Költségvetési intézmények fejlesztései</t>
  </si>
  <si>
    <t xml:space="preserve">Önként vállalt feladatok </t>
  </si>
  <si>
    <t>II.</t>
  </si>
  <si>
    <t>Önkormányzati felújítási feladatok</t>
  </si>
  <si>
    <t xml:space="preserve">Önk-i vagyonnal való gazdálkodás </t>
  </si>
  <si>
    <t>Intézmény felújítások</t>
  </si>
  <si>
    <t>( adatok forintban )</t>
  </si>
  <si>
    <t>Kötelező feladatok</t>
  </si>
  <si>
    <t>Kiadások</t>
  </si>
  <si>
    <t>Beruházások</t>
  </si>
  <si>
    <t>Felújítások</t>
  </si>
  <si>
    <t>Városi Sportigazgatóság</t>
  </si>
  <si>
    <t>8.sz. melléklet</t>
  </si>
  <si>
    <t>Támogatási jogcím</t>
  </si>
  <si>
    <t xml:space="preserve">Települési önkormányzatok működésének támogatása </t>
  </si>
  <si>
    <t xml:space="preserve">Települési önkormányzatok egyes köznevelési  feladatainak támogatása </t>
  </si>
  <si>
    <t xml:space="preserve">Óvodaműködtetési támogatás </t>
  </si>
  <si>
    <t>Kiegészítő támogatás az  óvodapedagógusok minősítésből adódó többletkiadásokhoz</t>
  </si>
  <si>
    <t>Egyes szociális és gyermekjóléti feladatok támogatása</t>
  </si>
  <si>
    <t xml:space="preserve">Család- és gyermekjóléti szolgálat </t>
  </si>
  <si>
    <t>Család- és gyermekjóléti központ</t>
  </si>
  <si>
    <t>Gyermekétkeztetés támogatása</t>
  </si>
  <si>
    <t>A finanszírozás szempontjából elismert szakmai dolgozók bértámogatása</t>
  </si>
  <si>
    <t>Gyermekétkeztetés üzemeltetési támogatása</t>
  </si>
  <si>
    <t>Bölcsőde támogatása</t>
  </si>
  <si>
    <t xml:space="preserve">Települési önkormányzatok kulturális feladatainak támogatása </t>
  </si>
  <si>
    <t>Nyilvános könyvtári és a közművelődési feladatok támogatása</t>
  </si>
  <si>
    <t>Megnevezés</t>
  </si>
  <si>
    <t>Működési pénzeszköz átadás Társulás részére tagi hozzájárulás</t>
  </si>
  <si>
    <t>Nemzetközi kapcsolatok</t>
  </si>
  <si>
    <t>3. Közrendvédelmi, közbiztonsági feladatok támogatása:</t>
  </si>
  <si>
    <t xml:space="preserve">Dunakeszi Rendőrkapitányság </t>
  </si>
  <si>
    <t>Dunakeszi Városi Polgárőr tevékenység támogatása</t>
  </si>
  <si>
    <t>4. Közoktatási, közművelődési támogatások</t>
  </si>
  <si>
    <t xml:space="preserve">VOKE József Attila Művelődési Központ </t>
  </si>
  <si>
    <t>Dunakeszi Fúvószenekari Egyesület</t>
  </si>
  <si>
    <t>Dunakeszi Szimfonikus Zenekar Egyesület</t>
  </si>
  <si>
    <t>Tóth Mariska Hagyományőrző Alapítvány</t>
  </si>
  <si>
    <t>Dunakeszi Diófa Nagycsaládosok Egyesülete</t>
  </si>
  <si>
    <t xml:space="preserve">Vasutasok Dunakeszi Nyugdíjas Alapszervezete </t>
  </si>
  <si>
    <t>Eudoxia Irodalom-Tudomány-, Művészetpártoló Családsegítő alapítvány</t>
  </si>
  <si>
    <t>Rákóczi Szövetség Dunakeszi Szervezete</t>
  </si>
  <si>
    <t>Radnóti Gimnázium Diákjaiért Alapítvány</t>
  </si>
  <si>
    <t>Dunakeszi Szent István Általános Iskoláért Alapítvány</t>
  </si>
  <si>
    <t>Dunakeszi Széchenyi István Általános Iskolai Alapítvány</t>
  </si>
  <si>
    <t>Kőrösi Csoma Sándor Általános Iskola Alapítvány</t>
  </si>
  <si>
    <t>Önkormányzati intézmények</t>
  </si>
  <si>
    <t>Dunakeszi-Gyártelep Egyházközség</t>
  </si>
  <si>
    <t>Dunakeszi Református Egyházközség</t>
  </si>
  <si>
    <t>Dunakeszi Evangélikus Egyházközség</t>
  </si>
  <si>
    <t>6. Sportcélú támogatások, pénzeszköz átadások</t>
  </si>
  <si>
    <t xml:space="preserve">Diáksport támogatások </t>
  </si>
  <si>
    <t>Városi Sportegyesület Dunakeszi</t>
  </si>
  <si>
    <t>Dunakeszi Diák  és Szabadidő Kajak Klub</t>
  </si>
  <si>
    <t>SVSE Kempo Klub</t>
  </si>
  <si>
    <t>Dunakeszi Pom-pon Csoport</t>
  </si>
  <si>
    <t>Dunakeszi Kiscicák Kosárlabda</t>
  </si>
  <si>
    <t xml:space="preserve">Judo ANC Felkelő nap SE </t>
  </si>
  <si>
    <t>Sárkányhajó Klub</t>
  </si>
  <si>
    <t>Horgász Egyesület</t>
  </si>
  <si>
    <t>Városi versenyek kupa, terembérlet kiadás támogatása</t>
  </si>
  <si>
    <t xml:space="preserve">Jubileumi, egyesületi és egyéni sportolók felkészülési támogatása </t>
  </si>
  <si>
    <t>7. Szociális és egészségügyi feladatok támogatása, pénzeszköz átadásai :</t>
  </si>
  <si>
    <t xml:space="preserve">Működési pénzeszköz átadás Társulás részére állategészségügyi feladatokra </t>
  </si>
  <si>
    <t xml:space="preserve">Működési pénzeszköz átadás Társulás részére orvosi ügyeleti feladatokra </t>
  </si>
  <si>
    <t>Myrai Vallási Közhasznú Egyesület hajléktalan ellátás</t>
  </si>
  <si>
    <t>SZÉRA Családok átmeneti otthona</t>
  </si>
  <si>
    <t>Magyar Vöröskereszt Dunakeszi Szervezete</t>
  </si>
  <si>
    <t>Felhalmozási célú támogatások</t>
  </si>
  <si>
    <t>Pályázati önrész, pályázatokkal kapcsolatos feladatok</t>
  </si>
  <si>
    <t>Mindösszesen:</t>
  </si>
  <si>
    <t>Költségvetési intézmény                                                       megnevezése</t>
  </si>
  <si>
    <t>Teljes munka-idős</t>
  </si>
  <si>
    <t>Rész munkaidős</t>
  </si>
  <si>
    <t>Összes</t>
  </si>
  <si>
    <t>Teljes munkaidős</t>
  </si>
  <si>
    <t>6 órás</t>
  </si>
  <si>
    <t>4 órás</t>
  </si>
  <si>
    <t>ÖNKORMÁNYZAT</t>
  </si>
  <si>
    <t xml:space="preserve">   - polgármester</t>
  </si>
  <si>
    <t xml:space="preserve">   - alpolgármester</t>
  </si>
  <si>
    <t xml:space="preserve">   - mezőőr</t>
  </si>
  <si>
    <t xml:space="preserve">   - jegyző</t>
  </si>
  <si>
    <t xml:space="preserve">   - aljegyző</t>
  </si>
  <si>
    <t xml:space="preserve">   - köztisztviselő</t>
  </si>
  <si>
    <t xml:space="preserve">   - ügykezelő</t>
  </si>
  <si>
    <t xml:space="preserve">   - fizikai alkalmazottak</t>
  </si>
  <si>
    <t>DÓHSZK</t>
  </si>
  <si>
    <t xml:space="preserve">   -DÓHSZK Igazgatás</t>
  </si>
  <si>
    <t>Gazdasági osztály</t>
  </si>
  <si>
    <t>Gyerekfelügyelet</t>
  </si>
  <si>
    <t xml:space="preserve">   - Kincsem Utcai Bölcsődei Tph.</t>
  </si>
  <si>
    <t xml:space="preserve">  -  Család-és Gyermekjóléti Szolgálat     szakmai egység (Alapellátási Csoport)</t>
  </si>
  <si>
    <t xml:space="preserve">   - Család- és Gyermekjóléti járási szolgáltatási szakmai egység (Járási Csoport)</t>
  </si>
  <si>
    <t>Óvodai Intézményi Szakmai Egység</t>
  </si>
  <si>
    <t>Eszterlánc Tagóvoda</t>
  </si>
  <si>
    <t>Alagi Tagóvoda</t>
  </si>
  <si>
    <t>Gyöngyharmat Tagóvoda</t>
  </si>
  <si>
    <t>Piros Tagóvoda</t>
  </si>
  <si>
    <t>Meseház Tagóvoda</t>
  </si>
  <si>
    <t>Játszóház Tagóvoda</t>
  </si>
  <si>
    <t>Kölcsey Ferenc Városi Könyvtár</t>
  </si>
  <si>
    <t>ÖNKORMÁNYZAT ÖSSZESEN</t>
  </si>
  <si>
    <t>COFOG</t>
  </si>
  <si>
    <t>Felhalmozási tartalék</t>
  </si>
  <si>
    <t>Finanszírozási kiadások</t>
  </si>
  <si>
    <t>Önkormányzatok és önk.hivatalok jogalkotó és ált. igazg.tevékeny.</t>
  </si>
  <si>
    <t>Köztemető fenntartás és működtetés</t>
  </si>
  <si>
    <t>Az önkormányzati vagyonnal való gazdálk.kapcs. feladatok</t>
  </si>
  <si>
    <t xml:space="preserve">Kiemelt állami és önkormányzati rendezvények                </t>
  </si>
  <si>
    <t>Városi és elővárosi közúti személyszállítás</t>
  </si>
  <si>
    <t>Közutak, hidak, alagutak üzemeltetése, fenntartása</t>
  </si>
  <si>
    <t>Parkoló, garázs üzemeltetése, fenntartása</t>
  </si>
  <si>
    <t>Szennyvíz gyűjtése, tisztítása, elhelyezése</t>
  </si>
  <si>
    <t xml:space="preserve">Településfejlesztés igazgatása                              </t>
  </si>
  <si>
    <t>Közvilágítás</t>
  </si>
  <si>
    <t>Zöldterület kezelés</t>
  </si>
  <si>
    <t>Város, községgazdálkodási egyéb szolgáltatások</t>
  </si>
  <si>
    <t>Háziorvosi ügyelet</t>
  </si>
  <si>
    <t>Járóbetegek gyógyító szakellátása</t>
  </si>
  <si>
    <t xml:space="preserve">Fogorvosi alapellátás                                       </t>
  </si>
  <si>
    <t>Iskolai, diáksport-tevékenység és támogatása</t>
  </si>
  <si>
    <t xml:space="preserve">Óvodai nevelés, ellátás működtetési feladatai               </t>
  </si>
  <si>
    <t>Gyermekek átmeneti ellátása</t>
  </si>
  <si>
    <t>Gyermekek bölcsődei ellátása</t>
  </si>
  <si>
    <t>Család és gyermekjóléti központ</t>
  </si>
  <si>
    <t>Hajléktalanok átmeneti ellátása</t>
  </si>
  <si>
    <t>Egyéb szociális pénzbeli és természetbeni ellátások, támogatások</t>
  </si>
  <si>
    <t>Kötelező feladatok összesen:</t>
  </si>
  <si>
    <t>Közterület rendjének fenntartása</t>
  </si>
  <si>
    <t>Sportlétesítmények, edzőtáborok működtetése és fejlesztése</t>
  </si>
  <si>
    <t>Versenysport és utánpótlás-nevelési tevékenység támogatása</t>
  </si>
  <si>
    <t>Szabadidősport- (rekreációs sport-) tevékenység és támogatása</t>
  </si>
  <si>
    <t>Közművelődés- hagyományos közösségi kulturális értékek gond.</t>
  </si>
  <si>
    <t>Civil szervezetek  működési támogatása</t>
  </si>
  <si>
    <t>Civil szervezetek programtámogatása</t>
  </si>
  <si>
    <t xml:space="preserve">Egyházak, közösségi és hitéleti tevékenység támogatása </t>
  </si>
  <si>
    <t>Nemzetközi kulturális együttműködés</t>
  </si>
  <si>
    <t>Önként vállalt feladatok összesen:</t>
  </si>
  <si>
    <t>K1</t>
  </si>
  <si>
    <t>K2</t>
  </si>
  <si>
    <t xml:space="preserve"> Munkaadókat terhelő járulékok, szociális hozzájárulási adó</t>
  </si>
  <si>
    <t>K3</t>
  </si>
  <si>
    <t>K4</t>
  </si>
  <si>
    <t>K5</t>
  </si>
  <si>
    <t xml:space="preserve">Egyéb működési célú kiadások </t>
  </si>
  <si>
    <t>K513</t>
  </si>
  <si>
    <t>Tartalékok</t>
  </si>
  <si>
    <t>K6</t>
  </si>
  <si>
    <t>K7</t>
  </si>
  <si>
    <t>K8</t>
  </si>
  <si>
    <t>Egyéb felhalmozási célú kiadások</t>
  </si>
  <si>
    <t>Költségvetési kiadások összesen</t>
  </si>
  <si>
    <t>K9</t>
  </si>
  <si>
    <t xml:space="preserve">Finanszírozási kiadások </t>
  </si>
  <si>
    <t xml:space="preserve">K I A D Á S O K   Ö S S Z E S E N </t>
  </si>
  <si>
    <t>Személyi juttatások</t>
  </si>
  <si>
    <t>Munkaadókat terh. járulékok, szociális hozzájárulási adó</t>
  </si>
  <si>
    <t>Dologi kiadások</t>
  </si>
  <si>
    <t>Ellátottak pénzbeli juttatásai</t>
  </si>
  <si>
    <t>Általános tartalék</t>
  </si>
  <si>
    <t xml:space="preserve">Működési  céltartalék </t>
  </si>
  <si>
    <t>Beruházási kiadások</t>
  </si>
  <si>
    <t>Felújítási kiadások</t>
  </si>
  <si>
    <t>Felhalmozási céltartalék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</si>
  <si>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</si>
  <si>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</si>
  <si>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</si>
  <si>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</si>
  <si>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</si>
  <si>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</si>
  <si>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</si>
  <si>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</si>
  <si>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</si>
  <si>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</si>
  <si>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</si>
  <si>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</si>
  <si>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</si>
  <si>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Közvetett támogatás jogcíme</t>
  </si>
  <si>
    <t>Elengedés, kedvezmény jogalapja</t>
  </si>
  <si>
    <t>Mentesség</t>
  </si>
  <si>
    <t>Kedvezmény</t>
  </si>
  <si>
    <t xml:space="preserve">Helyi adónál biztosított kedvezmény, mentesség </t>
  </si>
  <si>
    <t>55/2011.(XII.21.) Önk.rendelet</t>
  </si>
  <si>
    <t>56/2011.(XII.21.) Önk.rendelet</t>
  </si>
  <si>
    <t>Bevétel jogcíme</t>
  </si>
  <si>
    <t>Egyéb működési célú támogatások ÁH belülről</t>
  </si>
  <si>
    <t>1.sz. melléklet</t>
  </si>
  <si>
    <t>(adatok forintban)</t>
  </si>
  <si>
    <t>Bölcsődei üzemeltetési támogatás</t>
  </si>
  <si>
    <t>Keresztény Értelmiségiek Szövetsége</t>
  </si>
  <si>
    <t>Dunakeszi Városi Vegyeskar</t>
  </si>
  <si>
    <t>Térfigyelő kamerák telepítése</t>
  </si>
  <si>
    <t>B</t>
  </si>
  <si>
    <t>Ingatlanért életjáradék program</t>
  </si>
  <si>
    <t xml:space="preserve">   - Óvodai és Iskolai Szociális Segítő Szakmai Egység</t>
  </si>
  <si>
    <t xml:space="preserve">Helytörténeti Gyűjtemény </t>
  </si>
  <si>
    <t xml:space="preserve">   - alpolgármester társadalmi megbizatású</t>
  </si>
  <si>
    <t xml:space="preserve">   - Szásszorszép Bölcsődei Tph.</t>
  </si>
  <si>
    <t xml:space="preserve">   - Csillagszem Bölcsődei Tph.</t>
  </si>
  <si>
    <t xml:space="preserve">   - Napsugár Bölcsődei Tph.</t>
  </si>
  <si>
    <t>Települési önkormányzatok kulturális feladatainak támogatása</t>
  </si>
  <si>
    <t>B351</t>
  </si>
  <si>
    <t>B405</t>
  </si>
  <si>
    <t>Ellátási díjak</t>
  </si>
  <si>
    <t>B407</t>
  </si>
  <si>
    <t>ÁFA visszatérítése</t>
  </si>
  <si>
    <t>B66</t>
  </si>
  <si>
    <t>B812</t>
  </si>
  <si>
    <t>B411</t>
  </si>
  <si>
    <t>Egyéb működési bevételek</t>
  </si>
  <si>
    <t>072210</t>
  </si>
  <si>
    <t xml:space="preserve">Otthon Segítünk Alapítvány </t>
  </si>
  <si>
    <t>Peter Cerny Alapítvány a Beteg Koraszülöttek Gyógyításáért</t>
  </si>
  <si>
    <t>Dunakeszi Teátrum (Duna Színház Nonprofit Kulturális Kft.)</t>
  </si>
  <si>
    <t>Finanszírozási célú pénzügyi műveletek bevételei (állampapír beváltás)</t>
  </si>
  <si>
    <t>Gimnázium és szakképző iskola tanulóinak közismereti és szakmai elméleti oktatásával összefüggő működtetési feladatok</t>
  </si>
  <si>
    <t>Helyi védett épületek felújítási támogatása (rendelet szerint)</t>
  </si>
  <si>
    <t>047120</t>
  </si>
  <si>
    <t>Piac üzemeltetése</t>
  </si>
  <si>
    <t>Pályázat kódja</t>
  </si>
  <si>
    <t>Pályázat címe</t>
  </si>
  <si>
    <t>Pályázat rövid tartalma (ha a címből nem egyértelmű)</t>
  </si>
  <si>
    <t>TSZ/TO szerinti összköltség (hatályos)</t>
  </si>
  <si>
    <t>TSZ/TO szerinti támogatás (hatályos)</t>
  </si>
  <si>
    <t>Kezdő dátum (hatályos)</t>
  </si>
  <si>
    <t>Záró dátum (hatályos)</t>
  </si>
  <si>
    <t>Záró elszámolás határideje</t>
  </si>
  <si>
    <t>Egészséges Budapest I. ütem</t>
  </si>
  <si>
    <t>Egészséges Budapest II. ütem</t>
  </si>
  <si>
    <t>SZTK felújítása és Pszichiátria építése</t>
  </si>
  <si>
    <t xml:space="preserve">Saját forrás
</t>
  </si>
  <si>
    <t>011130</t>
  </si>
  <si>
    <t>013320</t>
  </si>
  <si>
    <t>016080</t>
  </si>
  <si>
    <t>031030</t>
  </si>
  <si>
    <t>041233</t>
  </si>
  <si>
    <t>Hosszabb időtartamú közfoglalkoztatás</t>
  </si>
  <si>
    <t>Út, autópálya építése</t>
  </si>
  <si>
    <t>045160</t>
  </si>
  <si>
    <t>047410</t>
  </si>
  <si>
    <t>Ár- és belvízvédelemmel  összefüggő tevékenységek</t>
  </si>
  <si>
    <t>051040</t>
  </si>
  <si>
    <t>Nem veszélyes hulladék kezelése, ártalmatlanítása</t>
  </si>
  <si>
    <t>052020</t>
  </si>
  <si>
    <t>062010</t>
  </si>
  <si>
    <t>064010</t>
  </si>
  <si>
    <t>066010</t>
  </si>
  <si>
    <t>066020</t>
  </si>
  <si>
    <t>072111</t>
  </si>
  <si>
    <t>072112</t>
  </si>
  <si>
    <t>072311</t>
  </si>
  <si>
    <t>082092</t>
  </si>
  <si>
    <t>091140</t>
  </si>
  <si>
    <t>081041</t>
  </si>
  <si>
    <t>081043</t>
  </si>
  <si>
    <t>081045</t>
  </si>
  <si>
    <t>081071</t>
  </si>
  <si>
    <t>Üdülői szálláshely- szolgáltatás és étkeztetés</t>
  </si>
  <si>
    <t>084031</t>
  </si>
  <si>
    <t>084032</t>
  </si>
  <si>
    <t>084040</t>
  </si>
  <si>
    <t>086030</t>
  </si>
  <si>
    <t>Óvodai nevelés, ellátás működtetési feladatai</t>
  </si>
  <si>
    <t>091220</t>
  </si>
  <si>
    <t>Köznevelési intézményben tanulók 1-4.évf. oktatási működtetési feladatok</t>
  </si>
  <si>
    <t>091250</t>
  </si>
  <si>
    <t>Alapfokú művészetoktatással összefüggő működtetési feladatok</t>
  </si>
  <si>
    <t>092120</t>
  </si>
  <si>
    <t>Köznevelési intézményben tanulók 5-8.évf. oktatási működtetési feladatok</t>
  </si>
  <si>
    <t>092260</t>
  </si>
  <si>
    <t>098022</t>
  </si>
  <si>
    <t>Pedagógiai szakszolgáltató tevékenység működtetési feladatai</t>
  </si>
  <si>
    <t>K</t>
  </si>
  <si>
    <t>Ö</t>
  </si>
  <si>
    <t>Működési tartalék</t>
  </si>
  <si>
    <t xml:space="preserve"> Személyi juttatások </t>
  </si>
  <si>
    <t xml:space="preserve"> Dologi  kiadások összesen  </t>
  </si>
  <si>
    <t xml:space="preserve">Ellátottak pénzbeli juttatásai </t>
  </si>
  <si>
    <t>Kiadási előirányzat-csoport megnevezése</t>
  </si>
  <si>
    <t>Bevételi előirányzat-csoport megnevezése</t>
  </si>
  <si>
    <t>Működési költségvetési kiadások  összesen</t>
  </si>
  <si>
    <t>Működési költségvetési bevételek összesen</t>
  </si>
  <si>
    <t>Felhalmozási költségvetési kiadások összesen</t>
  </si>
  <si>
    <t>Felhalmozási költségvetési bevételek összesen</t>
  </si>
  <si>
    <t>Dunakeszi Város Önkormányzat</t>
  </si>
  <si>
    <t>Rovatrend</t>
  </si>
  <si>
    <t>2.sz. melléklet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</si>
  <si>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</si>
  <si>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</si>
  <si>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</si>
  <si>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</si>
  <si>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</si>
  <si>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Önkormányzati hivatal működésének támogatása </t>
  </si>
  <si>
    <t>4.sz. melléklet</t>
  </si>
  <si>
    <t>Személyi juttatás</t>
  </si>
  <si>
    <t>Munkaadókat terhelő adók, járulékok</t>
  </si>
  <si>
    <t>Működési célú pénzeszköz átadás ÁH belülre</t>
  </si>
  <si>
    <t>Működési célú pénzeszköz átadás ÁH kívülre</t>
  </si>
  <si>
    <t>MŰKÖDÉSI TÁMOGATÁSOK ÖSSZESEN</t>
  </si>
  <si>
    <t>FELHALMOZÁSI TÁMOGATÁSOK ÖSSZESEN</t>
  </si>
  <si>
    <t>Működési támogatások</t>
  </si>
  <si>
    <t>2.sz. melléklet összesen</t>
  </si>
  <si>
    <t>KÖZPONTI KÖLTSÉGVETÉSBŐL SZÁRMAZÓ TÁMOGATÁSOK ÖSSZESEN</t>
  </si>
  <si>
    <t>Sorszám</t>
  </si>
  <si>
    <t>MŰKÖDÉSI TARTALÉK</t>
  </si>
  <si>
    <t>FELHALMOZÁSI TARTALÉK</t>
  </si>
  <si>
    <t>( Adatok forintban )</t>
  </si>
  <si>
    <t xml:space="preserve">  (adatok forintban)</t>
  </si>
  <si>
    <t xml:space="preserve">Bevételek összesen: </t>
  </si>
  <si>
    <t xml:space="preserve">Maradvány </t>
  </si>
  <si>
    <t>Állampapír beváltása</t>
  </si>
  <si>
    <t>Kiadások összesen:</t>
  </si>
  <si>
    <t>14.sz. melléklet</t>
  </si>
  <si>
    <t>(Adatok forintban)</t>
  </si>
  <si>
    <t>KÖLTSÉGVETÉSI SZERVEK</t>
  </si>
  <si>
    <t>POLGÁRMESTERI HIVATAL</t>
  </si>
  <si>
    <t xml:space="preserve">Dunakeszi Művészetéért  Alapítvány </t>
  </si>
  <si>
    <t xml:space="preserve"> -DÓHSZK Óvodák</t>
  </si>
  <si>
    <t xml:space="preserve"> -DÓHSZK Kölcsey Ferenc Városi Könyvtár</t>
  </si>
  <si>
    <t xml:space="preserve"> -DÓHSZK Család és Gyermekjóléti Központ</t>
  </si>
  <si>
    <t xml:space="preserve"> -DÓHSZK Bölcsődék</t>
  </si>
  <si>
    <t>Alagi Diák Sakk Klub</t>
  </si>
  <si>
    <t>Gyémánt Lótusz SE</t>
  </si>
  <si>
    <t>Bujutsu Kai</t>
  </si>
  <si>
    <t>Óvodai és iskolai szociális segítéshez kapcsolódó támogatás</t>
  </si>
  <si>
    <t xml:space="preserve"> 2.2.3</t>
  </si>
  <si>
    <t>1.1.1.1</t>
  </si>
  <si>
    <t>1.1.1.2</t>
  </si>
  <si>
    <t>Településüzemeltetés - zöldterület gazdálkodás támogatása</t>
  </si>
  <si>
    <t>1.1.1.3</t>
  </si>
  <si>
    <t>Településüzemeltetés - közvilágítás  támogatása</t>
  </si>
  <si>
    <t>1.1.1.4</t>
  </si>
  <si>
    <t>1.1.1.5</t>
  </si>
  <si>
    <t>1.1.1.6</t>
  </si>
  <si>
    <t>1.1.1.7</t>
  </si>
  <si>
    <t>Településüzemeltetés - köztemető támogatása</t>
  </si>
  <si>
    <t>Településüzemeltetés - közutak támogatása</t>
  </si>
  <si>
    <t>Egyéb önkormányzati feladatok támogatása</t>
  </si>
  <si>
    <t>Lakott külterülettel kapcsolatos feladatok támogatása</t>
  </si>
  <si>
    <t xml:space="preserve"> 1.2.1</t>
  </si>
  <si>
    <t xml:space="preserve"> 1.2.2</t>
  </si>
  <si>
    <t>Óvodapedagógusok átlagbér alapú támogatása</t>
  </si>
  <si>
    <t xml:space="preserve"> 1.2.3</t>
  </si>
  <si>
    <t xml:space="preserve"> 1.2.5</t>
  </si>
  <si>
    <t>Pedagógusok nevelő munkáját közvetlenül segítők átlagbéralapú támogatása</t>
  </si>
  <si>
    <t xml:space="preserve"> 1.3.3</t>
  </si>
  <si>
    <t xml:space="preserve">Települési önkormányzatok szociális és gyermekjóléti  feladatainak támogatása </t>
  </si>
  <si>
    <t xml:space="preserve"> 1.3.3.1</t>
  </si>
  <si>
    <t xml:space="preserve"> 1.3.3.2</t>
  </si>
  <si>
    <t xml:space="preserve"> 1.3.2</t>
  </si>
  <si>
    <t xml:space="preserve"> 1.3.2.1</t>
  </si>
  <si>
    <t xml:space="preserve"> 1.3.2.2</t>
  </si>
  <si>
    <t xml:space="preserve"> 1.4.1.1</t>
  </si>
  <si>
    <t>Intézményi gyermekétkeztetés - bértámogatás</t>
  </si>
  <si>
    <t xml:space="preserve"> 1.4.1.2</t>
  </si>
  <si>
    <t xml:space="preserve"> 1.4.2</t>
  </si>
  <si>
    <t>Szünidei étkeztetésének támogatása</t>
  </si>
  <si>
    <t xml:space="preserve"> 1.5.2</t>
  </si>
  <si>
    <t>B1131</t>
  </si>
  <si>
    <t>B1132</t>
  </si>
  <si>
    <t>Települési önkormányzatok gyermekétkeztetési feladatainak támogatása</t>
  </si>
  <si>
    <t>Révész István Helytörténeti Gyűjtemény</t>
  </si>
  <si>
    <t>Aranyalma Tagóvoda</t>
  </si>
  <si>
    <t>Kerekerdő Tagóvoda</t>
  </si>
  <si>
    <t xml:space="preserve">   - egyéb foglalkoztatottak</t>
  </si>
  <si>
    <t>SZTK felújítás keretében: Új lift beszerzése; Bontási munkálatok; Előtető, útépítés; RTG berendezés beszerzése.</t>
  </si>
  <si>
    <t>WiFi4EU 2019.</t>
  </si>
  <si>
    <t>Testvér-települési programok és együttműködések támogatására</t>
  </si>
  <si>
    <t>Közös múltunk 30. éve</t>
  </si>
  <si>
    <t>Önkormányzati feladatellátást szolgáló fejlesztések támogatása 2020</t>
  </si>
  <si>
    <t>Kiserdő utca útburkolat javítása</t>
  </si>
  <si>
    <t>Kubinyi Ágoston Program 2020.</t>
  </si>
  <si>
    <t>RIHGY</t>
  </si>
  <si>
    <t>na</t>
  </si>
  <si>
    <t>Közművelődési érdekeltségnövelő támogatás 2020.</t>
  </si>
  <si>
    <t>VOKE JAMK fejlesztése</t>
  </si>
  <si>
    <t>Elvonások, befizetések</t>
  </si>
  <si>
    <t>018020</t>
  </si>
  <si>
    <t>Központi költségvetési befizetések</t>
  </si>
  <si>
    <t>Felújítási előirányzatok összesen</t>
  </si>
  <si>
    <t xml:space="preserve">    - közfoglalkoztatottak</t>
  </si>
  <si>
    <t>104031</t>
  </si>
  <si>
    <t>074040</t>
  </si>
  <si>
    <t>Fertőző megbetegedések megelőzése, járványügyi ellátás</t>
  </si>
  <si>
    <t>104043</t>
  </si>
  <si>
    <t>041110</t>
  </si>
  <si>
    <t>Általános gazdasági és kereskedelmi ügyek igazgatása</t>
  </si>
  <si>
    <t>086010</t>
  </si>
  <si>
    <t>Határon túli magyarok egyéb támogatásai</t>
  </si>
  <si>
    <t>Egyéb elvonások, befizetések</t>
  </si>
  <si>
    <t>CÉLTARTALÉKOK ÖSSZESEN</t>
  </si>
  <si>
    <t>Önkormányzati egyéb vagyonnal való gazdálkodás</t>
  </si>
  <si>
    <t xml:space="preserve">Fejlesztési  előirányzatok összesen </t>
  </si>
  <si>
    <t>Központi költségvetésből nyújtott támogatás</t>
  </si>
  <si>
    <t xml:space="preserve">Beruházási kiadások </t>
  </si>
  <si>
    <t>Államháztartáson belüli megelőlegezések visszafizetése</t>
  </si>
  <si>
    <t>MŰKÖDÉSI KÖLTSÉGVETÉSI EGYENLEG</t>
  </si>
  <si>
    <t>FELHALMOZÁSI KÖLTSÉGVETÉSI EGYENLEG</t>
  </si>
  <si>
    <t>KÖLTSÉGVETÉSI EGYENLEG</t>
  </si>
  <si>
    <t>2024. évi előirányzat terv</t>
  </si>
  <si>
    <t>Dunakeszi Óvodásokért Alapítvány</t>
  </si>
  <si>
    <t>Zöld Iskola Alapítvány (Fazekas)</t>
  </si>
  <si>
    <t>A korszerű oktatás feltételrendszerének biztosításával a jövő emberéért Alapítvány( Bárdos)</t>
  </si>
  <si>
    <t>Egyéb elvonások és befizetések</t>
  </si>
  <si>
    <t>2022. évi előirányzat</t>
  </si>
  <si>
    <t>2022. évi  előirányzat</t>
  </si>
  <si>
    <t>Költségvetési bevételek összesen  I+II</t>
  </si>
  <si>
    <t>Költségvetési kiadások összesen I+II</t>
  </si>
  <si>
    <t>Bevételek összesen  I+II+III</t>
  </si>
  <si>
    <t>Kiadások összesen I+II+III</t>
  </si>
  <si>
    <t>III.</t>
  </si>
  <si>
    <t>Helyi önkormányzatok működésének általános támogatása</t>
  </si>
  <si>
    <t>Egyéb működési célú támogatások  államháztartáson belülről</t>
  </si>
  <si>
    <t>Működési célra kapott támogatások, átvett pénzeszközök</t>
  </si>
  <si>
    <t xml:space="preserve"> Az Önkormányzat általános működésének és ágazati feladatainak támogatása</t>
  </si>
  <si>
    <t xml:space="preserve"> - Építményadó</t>
  </si>
  <si>
    <t xml:space="preserve"> - Telekadó </t>
  </si>
  <si>
    <t xml:space="preserve"> - Iparűzési adó</t>
  </si>
  <si>
    <t xml:space="preserve"> - Adópótlék, adóbírság</t>
  </si>
  <si>
    <t xml:space="preserve"> - Egyéb birságok</t>
  </si>
  <si>
    <t>Lakáscélú helyiségek bérbeadásából származó bevétel</t>
  </si>
  <si>
    <t>Egyéb önkormányzati vagyon bérbeadásából származó bevétel</t>
  </si>
  <si>
    <t>MŰKÖDÉSI BEVÉTELEK ÖSSZESEN</t>
  </si>
  <si>
    <t>FELHALMOZÁSI BEVÉTELEK ÖSSZESEN</t>
  </si>
  <si>
    <t>KÖLTSÉGVETÉSI BEVÉTELEK ÖSSZESEN I.+II.</t>
  </si>
  <si>
    <t>FINANSZÍROZÁSI BEVÉTELEK ÖSSZESEN</t>
  </si>
  <si>
    <t>B E V É T E L E K   Ö S S Z E S E N  I.+II.+III.</t>
  </si>
  <si>
    <t xml:space="preserve">2022. évi előirányzat </t>
  </si>
  <si>
    <t>2022. évi költségvetésének bevételi előirányzatai</t>
  </si>
  <si>
    <t>Dunakeszi Polgármesteri Hivatal</t>
  </si>
  <si>
    <t>Feladat</t>
  </si>
  <si>
    <t>Szemé-</t>
  </si>
  <si>
    <t>Munkaadókat</t>
  </si>
  <si>
    <t>Ebből:</t>
  </si>
  <si>
    <t>Pénze.</t>
  </si>
  <si>
    <t>Működési</t>
  </si>
  <si>
    <t>Felhalmozási</t>
  </si>
  <si>
    <t>Felhal-</t>
  </si>
  <si>
    <t>Kiadás</t>
  </si>
  <si>
    <t>Saját</t>
  </si>
  <si>
    <t>Irányító</t>
  </si>
  <si>
    <t>Engedélyezett</t>
  </si>
  <si>
    <t>Közfoglal-</t>
  </si>
  <si>
    <t>Cím-</t>
  </si>
  <si>
    <t>jellege</t>
  </si>
  <si>
    <t>Költségvetési</t>
  </si>
  <si>
    <t>lyi jut-</t>
  </si>
  <si>
    <t>terhelő</t>
  </si>
  <si>
    <t>egyéb</t>
  </si>
  <si>
    <t>átad. és</t>
  </si>
  <si>
    <t>kiadások</t>
  </si>
  <si>
    <t>tartalék</t>
  </si>
  <si>
    <t>célú</t>
  </si>
  <si>
    <t>Felújítás</t>
  </si>
  <si>
    <t>Beruházás</t>
  </si>
  <si>
    <t>mozási</t>
  </si>
  <si>
    <t>össze-</t>
  </si>
  <si>
    <t>szerv</t>
  </si>
  <si>
    <t>Önkormányzatok</t>
  </si>
  <si>
    <t>Önkor-</t>
  </si>
  <si>
    <t>álláshely</t>
  </si>
  <si>
    <t>koztatottak</t>
  </si>
  <si>
    <t>rend</t>
  </si>
  <si>
    <t>Kötelező</t>
  </si>
  <si>
    <t>Önként</t>
  </si>
  <si>
    <t>Államig.</t>
  </si>
  <si>
    <t>szerv megnevezése</t>
  </si>
  <si>
    <t>tatások</t>
  </si>
  <si>
    <t>járulékok,</t>
  </si>
  <si>
    <t>összesen</t>
  </si>
  <si>
    <t xml:space="preserve">és működési </t>
  </si>
  <si>
    <t>pénzeszköz</t>
  </si>
  <si>
    <t>és tartalékok</t>
  </si>
  <si>
    <t>sen</t>
  </si>
  <si>
    <t>támogatása</t>
  </si>
  <si>
    <t>költségvetési</t>
  </si>
  <si>
    <t xml:space="preserve">
mányzati</t>
  </si>
  <si>
    <t>(fő)</t>
  </si>
  <si>
    <t>létszáma</t>
  </si>
  <si>
    <t>vállalt</t>
  </si>
  <si>
    <t>feladat</t>
  </si>
  <si>
    <t>adók</t>
  </si>
  <si>
    <t>juttatása</t>
  </si>
  <si>
    <t>támog.</t>
  </si>
  <si>
    <t>tartalék összesen</t>
  </si>
  <si>
    <t>átadás</t>
  </si>
  <si>
    <t>kiegészítés</t>
  </si>
  <si>
    <t>X</t>
  </si>
  <si>
    <t xml:space="preserve"> - kötelező feladat</t>
  </si>
  <si>
    <t xml:space="preserve"> - államigazgatási feladat</t>
  </si>
  <si>
    <t xml:space="preserve"> - önként vállalt feladat</t>
  </si>
  <si>
    <t>Az önkormányzat és az irányítása alá tartozó költségvetési szervek 2022. évi kiadásai és azok forrásai</t>
  </si>
  <si>
    <t>(Adatok: forintban)</t>
  </si>
  <si>
    <t>Dologi</t>
  </si>
  <si>
    <t>pénzbeli</t>
  </si>
  <si>
    <t>Ellátottak</t>
  </si>
  <si>
    <t>Elvonások</t>
  </si>
  <si>
    <t>és</t>
  </si>
  <si>
    <t>befizetések</t>
  </si>
  <si>
    <t>Finanszírozási</t>
  </si>
  <si>
    <t>bevételek</t>
  </si>
  <si>
    <t>Dunakeszi Óvodai és Humán Szolgáltató Központ és Könyvtár</t>
  </si>
  <si>
    <t>Feladat jellege</t>
  </si>
  <si>
    <t>Önként 
vállalt</t>
  </si>
  <si>
    <t>Ellátottak pénzbeli juttatása</t>
  </si>
  <si>
    <t xml:space="preserve"> Önkormányzat működési kiadásai összesen:</t>
  </si>
  <si>
    <t>13.sz. melléklet</t>
  </si>
  <si>
    <t>5.sz. melléklet</t>
  </si>
  <si>
    <t>15.sz. melléklet</t>
  </si>
  <si>
    <t>12. sz. melléklet</t>
  </si>
  <si>
    <t>11. melléklet</t>
  </si>
  <si>
    <t>10.sz. melléklet</t>
  </si>
  <si>
    <t>9.sz. melléklet</t>
  </si>
  <si>
    <t>7.sz.melléklet</t>
  </si>
  <si>
    <t>6.sz. melléklet</t>
  </si>
  <si>
    <t>Kiadás jogcíme</t>
  </si>
  <si>
    <t xml:space="preserve">Személyi juttatások </t>
  </si>
  <si>
    <t>Munkaadókat terhelő járulékok, szociális hozzájárulási adó</t>
  </si>
  <si>
    <t xml:space="preserve">Dologi  kiadások összesen </t>
  </si>
  <si>
    <t>KÖLTSÉGVETÉSI KIADÁSOK ÖSSZESEN</t>
  </si>
  <si>
    <t>2022. évi költségvetésének kiadási előirányzatai</t>
  </si>
  <si>
    <t>Működési célú pénzeszközátadások, támogatások</t>
  </si>
  <si>
    <t>Működési célú visszatérítendő támogatások</t>
  </si>
  <si>
    <t>visszatérítendő</t>
  </si>
  <si>
    <t>támogatás</t>
  </si>
  <si>
    <t>Felhalmozási célú pénzeszközátadások, támogatások</t>
  </si>
  <si>
    <t>Felhalmozási célú visszatérítendő támogatások</t>
  </si>
  <si>
    <t>MŰKÖDÉSI KIADÁSOK ÖSSZESEN</t>
  </si>
  <si>
    <t>FELHALMOZÁSI KIADÁSOK ÖSSZESEN</t>
  </si>
  <si>
    <t>Működési tartalékok - általános tartalék</t>
  </si>
  <si>
    <t>Működési tartalékok - céltartalék</t>
  </si>
  <si>
    <t>Államháztartáson belüli megelőlegezés visszafizetése</t>
  </si>
  <si>
    <t>FINANSZÍROZÁSI KIADÁSOK ÖSSZESEN</t>
  </si>
  <si>
    <t>Magyarország 2022.évi központi költségvetéséről szóló 2021.évi XC.törvény 3. számú melléklete alapján nyújtott kiegészítő támogatások</t>
  </si>
  <si>
    <t>Magyarország 2022.évi központi költségvetéséről szóló 2021.évi XC.törvény 2. számú melléklete alapján a helyi önkormányzatok általános működésének és ágazati feladatainak támogatása</t>
  </si>
  <si>
    <t>Felhalmozási célú támogatások államháztartáson belülről</t>
  </si>
  <si>
    <t>Pályázatok 2022.év</t>
  </si>
  <si>
    <t>Megjegyzés</t>
  </si>
  <si>
    <t>15000 EUR</t>
  </si>
  <si>
    <t>A határidő a veszélyhelyzet időtartamával automatikusan hosszabbodik.</t>
  </si>
  <si>
    <t>A2025/N5444</t>
  </si>
  <si>
    <t>NKA Viadal 2021</t>
  </si>
  <si>
    <t>EMT-TE-B-A-21-0220</t>
  </si>
  <si>
    <t>Tér - Zene program 2021.</t>
  </si>
  <si>
    <t>BMÖFT/6-9/2021</t>
  </si>
  <si>
    <t xml:space="preserve">Önkormányzati feladatellátást szolgáló fejlesztések támogatása </t>
  </si>
  <si>
    <t>3 útszakasz felújítása</t>
  </si>
  <si>
    <t>209111/00014</t>
  </si>
  <si>
    <t>NKA - RIHGY - restaurálás</t>
  </si>
  <si>
    <t>A gyűjtemény sarokpadjának restaurálása, 60 db archiváló doboz beszerzése</t>
  </si>
  <si>
    <t>ZFR-ZBP-002/012-2020</t>
  </si>
  <si>
    <t>Zöld Busz Demonstrációs Mintaprojekt</t>
  </si>
  <si>
    <t>Elektromos töltő telepítése, 28 napig E busz tesztelése fordában, menetrend szerint. Támogató által szervezett oktatáson való részvétel DVÖ/Sportbusz.</t>
  </si>
  <si>
    <t>Nemzeti Művelődési Intézet - V4 Air Show 2021. és a X. Dunakeszi Feszt megrendezése</t>
  </si>
  <si>
    <t>1369/2021. (VI. 10.) Korm. határozat</t>
  </si>
  <si>
    <t>önkormányzati ingatlanok fejlesztése, útfejlesztés, térfigyelő kamerarendszer fejlesztése, településfejlesztési feladatok</t>
  </si>
  <si>
    <t>Infratrukturális fejlesztések támogatása</t>
  </si>
  <si>
    <t>VEKOP-6.1.1-21-2021-00003</t>
  </si>
  <si>
    <t>Dunakeszi Napsugár Bölcsőde bővítése</t>
  </si>
  <si>
    <t>Napsugár bölcsőde bővítése</t>
  </si>
  <si>
    <t>Tőzegtavi út szilárd burkolattal való ellátása</t>
  </si>
  <si>
    <t>Pest Megye Önkormányzatának Közgyűlése Gazdasági és Pénzügyi Bizottság 14/2021.(12.07.)  határozata alapján</t>
  </si>
  <si>
    <t>Támogatási szerződés megkötése folyamatban van, a pontos dátumok még nem ismertek</t>
  </si>
  <si>
    <t>TSZ módosítás folyamatban a határidő 2022.08.31-re történő meghosszabbítása miatt.</t>
  </si>
  <si>
    <t>Címrend</t>
  </si>
  <si>
    <t>074032</t>
  </si>
  <si>
    <t>Ifjúság-egészségügyi gondozás</t>
  </si>
  <si>
    <t>Céltartalékok állománya 2022.év</t>
  </si>
  <si>
    <t>2022. évi terv</t>
  </si>
  <si>
    <t>042220</t>
  </si>
  <si>
    <t>Erdőgazdálkodás</t>
  </si>
  <si>
    <t xml:space="preserve"> - Igazgatóság</t>
  </si>
  <si>
    <t xml:space="preserve"> - Könyvtár</t>
  </si>
  <si>
    <t xml:space="preserve"> - Gyermekjóléti Központ</t>
  </si>
  <si>
    <t xml:space="preserve"> - Családsegítő és Gyermekjóléti Szolgálat</t>
  </si>
  <si>
    <t xml:space="preserve"> - Óvodák</t>
  </si>
  <si>
    <t xml:space="preserve"> - Bölcsődék</t>
  </si>
  <si>
    <t xml:space="preserve"> - Nyári tábor</t>
  </si>
  <si>
    <t xml:space="preserve"> - Szünidei gyermekétkeztetés</t>
  </si>
  <si>
    <t>Az Önkormányzat  és az irányítása alá tartozó költségvetési szervek 2022. évi bevételi előirányzatai gazdálkodónként</t>
  </si>
  <si>
    <t>Dunakeszi Város Önkormányzat  és az irányítása alá tartozó költségvetési szervek</t>
  </si>
  <si>
    <t>Létszámelőirányzatok 2022. év</t>
  </si>
  <si>
    <t>Engedélyezett álláshelyek száma                                                          2022. január 1-én [db]</t>
  </si>
  <si>
    <t>Tényleges állományi létszám                                                              2022. január 1-én [fő]</t>
  </si>
  <si>
    <t>Ingatlanok értékesítése - önkormányzati bérlakás</t>
  </si>
  <si>
    <t>Működési célú visszatérítendő  támogatás nyújtás</t>
  </si>
  <si>
    <t>018010</t>
  </si>
  <si>
    <t>Önkormányzatok elszámolásai a központi költségvetéssel</t>
  </si>
  <si>
    <t>072440</t>
  </si>
  <si>
    <t>Mentés</t>
  </si>
  <si>
    <t>074031</t>
  </si>
  <si>
    <t>Család és nővédelmi egészségügyi gondozás</t>
  </si>
  <si>
    <t>Nemzeti Művelődési Intézet</t>
  </si>
  <si>
    <t xml:space="preserve">Dunakeszi városi státusztának 45. évfordulója. </t>
  </si>
  <si>
    <t>EMT-E-21-0151</t>
  </si>
  <si>
    <t>Művészeti Fesztivál Dunakeszin 2022.</t>
  </si>
  <si>
    <t>A 2022. évi Nyári Színház megvalósítására használjuk fel a támogatást.</t>
  </si>
  <si>
    <t>Dunakeszi 45.  - Városi Születésnap  2022.</t>
  </si>
  <si>
    <t>Támogatási szerződés megkötése folyamatban van</t>
  </si>
  <si>
    <t>Települlési önkormányzatok egyes szociális és gyermekjóléti feladatainak támogatása</t>
  </si>
  <si>
    <t>Települlési önkormányzatok egyes szociális és gyermekjóléti feladatainak kiegészítő támogatása</t>
  </si>
  <si>
    <t>Helyi önkormányzatok működésének kiegészítő támogatása</t>
  </si>
  <si>
    <t>Települési önk. egyes köznevelési feladatainak kiegészítő támogatása</t>
  </si>
  <si>
    <t>Települési önkormányzatok gyermekétkeztetési feladatainak kiegészítő támogatása</t>
  </si>
  <si>
    <t>Kiegészítő támogatás összege
(Ft)</t>
  </si>
  <si>
    <t>Támogatás összege (Ft)</t>
  </si>
  <si>
    <t>Összesen (Ft)</t>
  </si>
  <si>
    <t xml:space="preserve"> - Gyermekétkeztetés (Óvoda, Bölcsőde, Iskola)</t>
  </si>
  <si>
    <t>B52</t>
  </si>
  <si>
    <t>Pénzeszközátadások, támogatások az Önkormányzat 2022. évi  költségvetésében</t>
  </si>
  <si>
    <t>Városi Sportegyesület Dunakeszi - Magyarság Sporttelep melletti parkoló építés, gyalogátkelő és közvilágítás biztosítás, aszfaltozott út építés</t>
  </si>
  <si>
    <t>Városi Sportegyesület Dunakeszi -TAO megelőlegezés</t>
  </si>
  <si>
    <t>2022. évi költségvetésének működési kiadási előirányzatai feladatonként</t>
  </si>
  <si>
    <t xml:space="preserve"> 2.1</t>
  </si>
  <si>
    <t xml:space="preserve"> 2.2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</si>
  <si>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</si>
  <si>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</si>
  <si>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</si>
  <si>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</si>
  <si>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</si>
  <si>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</si>
  <si>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</si>
  <si>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</si>
  <si>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</si>
  <si>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>Működési kiadások összesen</t>
  </si>
  <si>
    <t>Bursa Hungarica Ösztöndíj Felsőoktatási hallgatóknak</t>
  </si>
  <si>
    <t>Dunakeszi SZTK Egészségügyi és Szociális Közhasznú Nonprofit Kft. Szociális feladatok ellátásnak támogatása</t>
  </si>
  <si>
    <t>FELHALMOZÁSI CÉLÚ VISSZATÉRÍTENDŐ TÁMOGATÁSOK ÖSSZESEN</t>
  </si>
  <si>
    <t>MŰKÖDÉSI CÉLÚ VISSZATÉRÍTENDŐ TÁMOGATÁSOK ÖSSZESEN</t>
  </si>
  <si>
    <t>PÉNZESZKÖZÁTADÁSOK, TÁMOGATÁSOK MINDÖSSZESEN</t>
  </si>
  <si>
    <t>Futakeszi és Őszi Városi Futás</t>
  </si>
  <si>
    <t>Dunakeszi Tenisz Klub Emléktorna</t>
  </si>
  <si>
    <t xml:space="preserve">2022. évi  előirányzat                             </t>
  </si>
  <si>
    <t xml:space="preserve"> Igazgatási feladatokokra átadott pénzeszközök :</t>
  </si>
  <si>
    <t>Közvetett támogatások az Önkormányzat költségvetésében 2022.év</t>
  </si>
  <si>
    <t>Építményadó</t>
  </si>
  <si>
    <t xml:space="preserve"> - 25 év alatti nappali tagozaton tanuló</t>
  </si>
  <si>
    <t xml:space="preserve"> - nyugdíjas kedvezmény</t>
  </si>
  <si>
    <t xml:space="preserve"> - nem lakás célú kedvezmény</t>
  </si>
  <si>
    <t>Telekadó</t>
  </si>
  <si>
    <t xml:space="preserve"> 2022. évi fejlesztések, felújítások előirányzatai</t>
  </si>
  <si>
    <t xml:space="preserve">2022.évi előirányzat </t>
  </si>
  <si>
    <t>Általános közszolgáltatások</t>
  </si>
  <si>
    <t>Tárgyi eszközök beszerzése</t>
  </si>
  <si>
    <t>Ortfotó beszerzés</t>
  </si>
  <si>
    <t>Fő út 25. ingatlan térelválasztó fal építés, kerékpártároló kihelyezés</t>
  </si>
  <si>
    <t>Helyi közutak, közterek, parkok</t>
  </si>
  <si>
    <t>Úthálózatok fejlesztése, vízelvezetés</t>
  </si>
  <si>
    <t>Szent István utca, Klapka utca, Bartók csomópont</t>
  </si>
  <si>
    <t>Klapka utca – Sólyom utca útépítés engedélyezési terv készítése</t>
  </si>
  <si>
    <t>Katonadomb utca - Strand stabilizált útösszekötés kialakítása</t>
  </si>
  <si>
    <t>Csapadékvíz elvezetés Kassa u, Berek u.,Konrád- Korsós u</t>
  </si>
  <si>
    <t>2-es út felújítása "mintaprojekt" - tervezés</t>
  </si>
  <si>
    <t>Tompa Mihály útpálya szélesítés</t>
  </si>
  <si>
    <t>Csapadékvíz kezelés tervdokumentáció (Katonadomb parkoló)</t>
  </si>
  <si>
    <t>Alagligeti Óvoda út - Temető út között tervezés</t>
  </si>
  <si>
    <t>Hunyadi utca folytatása - tervezés</t>
  </si>
  <si>
    <t>Kiserdő utcába csatlakozó társasházi utak szilárd burkolat, vízelvezetés</t>
  </si>
  <si>
    <t>Toldi és Tóváros csatorna építés - kiegészítő munkák</t>
  </si>
  <si>
    <t>Benedek Elek utca forgalomcsillapító küszöb kialakítása</t>
  </si>
  <si>
    <t>Pipa utca környék csapadékvíz elvezetés</t>
  </si>
  <si>
    <t>Csomópontok kialakítása</t>
  </si>
  <si>
    <t>Pálya utca vége lámpásítás</t>
  </si>
  <si>
    <t>Szakorvosi Rendelőintézet előtt tervfelülvizsgálat+engedélyeztetés</t>
  </si>
  <si>
    <t>Gyalogos átkelőhelyek kialakítása</t>
  </si>
  <si>
    <t>Pálya u. buszmegálló - Rozmaring u. járda</t>
  </si>
  <si>
    <t>Madách u.-Berzsenyi u. zebra</t>
  </si>
  <si>
    <t>Járdaépítések</t>
  </si>
  <si>
    <t>Tábor u. járda óvoda mellé</t>
  </si>
  <si>
    <t>Szabadság tér járdaépítés</t>
  </si>
  <si>
    <t>Széchenyi u. (Vadász u.-Munkácsy u. ) déli járdaszakaszok</t>
  </si>
  <si>
    <t>Hajó utca  járda</t>
  </si>
  <si>
    <t>Parkolóépítések</t>
  </si>
  <si>
    <t>Fóti út mellett (055/42.hrsz) parkoló és csapvíz. elvezetési rsz. engedélyezési és kiviteli terv</t>
  </si>
  <si>
    <t>Pavilon utca P+R folytatása</t>
  </si>
  <si>
    <t>Barátság úti piac parkoló I. ütem</t>
  </si>
  <si>
    <t xml:space="preserve">Németh László utca parkolás rendezése </t>
  </si>
  <si>
    <t>Alagligeti napsugár Bölcsőde parkoló</t>
  </si>
  <si>
    <t>Szakáll Ferenc utca  parkoló</t>
  </si>
  <si>
    <t>Óvoda köz  parkolók kialakítása</t>
  </si>
  <si>
    <t>Kerékpárút fejlesztések</t>
  </si>
  <si>
    <t>Repülőtéri utat a Pálya utcával összekötő kerékpárút engedélyezési és kiviteli tervek</t>
  </si>
  <si>
    <t>2.sz. főút mentén kerékpárút létesítése - tervdokumentáció</t>
  </si>
  <si>
    <t>Kerékpárút fejlesztések - Élhető települések</t>
  </si>
  <si>
    <t>Táncsics  Mihály utca  kerékpáros átalakítás + Kiss&amp;Ride</t>
  </si>
  <si>
    <t>Zöldfelületek, játszóterek fejlesztése</t>
  </si>
  <si>
    <t>Toldi játszótér fejlesztése, játszótéri eszközök beszerzése</t>
  </si>
  <si>
    <t>Nyiltvízi Evezős Központ, Kiscsurgó völgy játszótéri eszközök beszerzése</t>
  </si>
  <si>
    <t>1000 fa telepítése évente</t>
  </si>
  <si>
    <t>Lányi Ferenc park fejlesztése</t>
  </si>
  <si>
    <t>Keszi-sétány fejlesztés</t>
  </si>
  <si>
    <t>József Attila park fejlesztése (Aradi Vértanúk tere)</t>
  </si>
  <si>
    <t>Kiscsurgó patak környezetrendezés</t>
  </si>
  <si>
    <t>Játszótéri eszközök beszerzése - Barátság út 1-3.</t>
  </si>
  <si>
    <t>Játszótéri eszközök beszerzése Barátság út 35. (Garas utca)</t>
  </si>
  <si>
    <t>Játszótér fejlesztés  Garas utca</t>
  </si>
  <si>
    <t>Játszótéri eszközök beszerzése  - Toldi utca</t>
  </si>
  <si>
    <t>Játszótéri eszközök beszerzése - Alagliget</t>
  </si>
  <si>
    <t>Dunakeszi Szakrendelő parkosítás</t>
  </si>
  <si>
    <t>Pallag utcai körforgalom visszazöldítése</t>
  </si>
  <si>
    <t xml:space="preserve">Fúrt kutak létesítése </t>
  </si>
  <si>
    <t xml:space="preserve">Fenyves lakóparki játszótéren homokozó kialakítás </t>
  </si>
  <si>
    <t>Nyiltvízi Evezős Központ játszótér tereprendezés, gyepesítés</t>
  </si>
  <si>
    <t>Madárbarát tanösvény kialakítása  (0164 hrsz)  tervezés és kivitelezés</t>
  </si>
  <si>
    <t>Klapka utca – Sólyom utca útépítéshez szükséges kisajátítás költségei</t>
  </si>
  <si>
    <t>Dunakeszi, 1750/2 hrsz-ú ingatlan megvásárlása</t>
  </si>
  <si>
    <t xml:space="preserve">3. </t>
  </si>
  <si>
    <t>Közvilágítás fejlesztések</t>
  </si>
  <si>
    <t>Egyéb fejlesztések</t>
  </si>
  <si>
    <t>Dunakeszi oktatási és sportközpont makett</t>
  </si>
  <si>
    <t>Piac részterületek vásárlása</t>
  </si>
  <si>
    <t>Lámpatest felszerelés (Fóti út-Bajcsy- Kossuth körforgalom)</t>
  </si>
  <si>
    <t>Katonadomb közvilágítás és WIFI</t>
  </si>
  <si>
    <t>Evező köz közvilágítás</t>
  </si>
  <si>
    <t>Kukatároló építmények kialakítása</t>
  </si>
  <si>
    <t>Visszapótlási kötelezettség ÁFA</t>
  </si>
  <si>
    <t>Közterületi tárgyi eszközök beszerzése (szemetesek, kresz táblák, pollerek, padok, információs táblák stb.)</t>
  </si>
  <si>
    <t>Intézményfejlesztések</t>
  </si>
  <si>
    <t>Aranyalma óvoda bővítés</t>
  </si>
  <si>
    <t>Házasságkötő terem kialakítása</t>
  </si>
  <si>
    <t>Dunakeszi, Karolina utca 5. sz. alatti ingatlan megvásárlása</t>
  </si>
  <si>
    <t>Hajózási Múzeum kialakítása</t>
  </si>
  <si>
    <t>Repülőtér fejlesztések</t>
  </si>
  <si>
    <t>Nővérszálló - tervezés</t>
  </si>
  <si>
    <t>Kiserdő utca felújítása - kivitelezés</t>
  </si>
  <si>
    <t>Tőzegtavi út felújítás II. ütem</t>
  </si>
  <si>
    <t>Útfelújítások  (Berek u., Fóti u.)</t>
  </si>
  <si>
    <t>Bérlakások felújítása</t>
  </si>
  <si>
    <t>Homokozó feletti árnyékoló felújítása (Katonadomb)</t>
  </si>
  <si>
    <t>Révész István Helytörténeti Gyűjtemény - sarokpad restaurálás</t>
  </si>
  <si>
    <t>Dunakeszi Radnóti Miklós Gimnázium  sportcsarnok felújítás</t>
  </si>
  <si>
    <t xml:space="preserve">6. </t>
  </si>
  <si>
    <t>Informatikai eszközök és egyéb tárgyi eszközök beszerzése</t>
  </si>
  <si>
    <t>Működési támogatások, átvett pénzeszközök</t>
  </si>
  <si>
    <t>Személyi és munkaadókat terhelő járulékok, adók</t>
  </si>
  <si>
    <t>Működési célú támogatások, pénzeszközátadások</t>
  </si>
  <si>
    <t>Dologi és egyéb működési kiadások</t>
  </si>
  <si>
    <t>Felhalmozási célú támogatások, péneszközátadások</t>
  </si>
  <si>
    <t xml:space="preserve"> 2022. évi előirányzat - felhasználási ütemterv </t>
  </si>
  <si>
    <t>Köztemetés költségeinek támogatása</t>
  </si>
  <si>
    <t>Dunakeszi Nyugdíjas Kiránduló Klub</t>
  </si>
  <si>
    <t>8. Egyházak támogatása</t>
  </si>
  <si>
    <t>Görögkatolikus Egyházközség</t>
  </si>
  <si>
    <t>ÉKKŐ Egyesület</t>
  </si>
  <si>
    <t>Szent Imre Egyházközség</t>
  </si>
  <si>
    <t>018030</t>
  </si>
  <si>
    <t>Támogatási célú finanszírozási műveletek</t>
  </si>
  <si>
    <t>102031</t>
  </si>
  <si>
    <t>Idősek nappali ellátása</t>
  </si>
  <si>
    <t xml:space="preserve">Fő út mentén járda, Toldi u. gyalogosátkelő - tervdokumentáció </t>
  </si>
  <si>
    <t xml:space="preserve">Fóti út - Janek Géza utca csomópont gyalogátkelőhely építés </t>
  </si>
  <si>
    <t>Madách Balassi csomópont gyalogátkelőhely egyesített engedélyes és kiviteli tervek</t>
  </si>
  <si>
    <t>Gyalogátkelőhelyek  - Sólyom u., Fő út, Fő út- Rév út - tervdokumentáció</t>
  </si>
  <si>
    <t>Zöld Busz Projekt - töltőállomás kivitelezés</t>
  </si>
  <si>
    <t>HHV vételi pont és csatornabekötés kiépítés (termelői piac)</t>
  </si>
  <si>
    <t>Szabadstrand - Értékmegőrző-szekrény alapozás,alépítmény kivitelezés</t>
  </si>
  <si>
    <t>Trianon téri szelektív hulladékgyûjtő átépítése</t>
  </si>
  <si>
    <t xml:space="preserve">Tőzegtavi út burkolatfelújítás </t>
  </si>
  <si>
    <t>Dunakeszi, Szent István utca 19.sz. ingatlan felújítása</t>
  </si>
  <si>
    <t>Fóti út 77. sz. orvosi rendelő burkolat felújítás</t>
  </si>
  <si>
    <t>Bevételek és kiadások 2023.év, 2024.év, 2025.év</t>
  </si>
  <si>
    <t>2023 évi előirányzat terv</t>
  </si>
  <si>
    <t>2025. évi előirányzat terv</t>
  </si>
  <si>
    <t>A tervszámoktól való eltérést a jogszabályi változások, valamint a minimálbér emelkedése indokolja.</t>
  </si>
  <si>
    <t>Előző évi maradvány igénybe vétele felhalmozásra</t>
  </si>
  <si>
    <t>Előző évi  maradvány igénybe vétele működésre</t>
  </si>
  <si>
    <t>Természetesen Dunakesziért Egyesület</t>
  </si>
  <si>
    <t>Általános tartalék 2022.év</t>
  </si>
  <si>
    <t>Lakásszámla tartaléka</t>
  </si>
  <si>
    <t>Dunakeszi Város Önkormányzata és az irányítása alá tartozó költségvetési szervek 2022. évi költségvetési mérlege</t>
  </si>
  <si>
    <t>Dunakeszi Város Önkormányzata és az irányításáa alá tartozó költségvetési szervek</t>
  </si>
  <si>
    <r>
      <rPr>
        <b/>
        <sz val="11"/>
        <rFont val="Times New Roman"/>
        <family val="1"/>
      </rPr>
      <t>Feladat jellege</t>
    </r>
    <r>
      <rPr>
        <b/>
        <sz val="12"/>
        <rFont val="Times New Roman"/>
        <family val="1"/>
      </rPr>
      <t xml:space="preserve"> </t>
    </r>
    <r>
      <rPr>
        <b/>
        <sz val="8"/>
        <rFont val="Times New Roman"/>
        <family val="1"/>
      </rPr>
      <t>Kötelező (K) Önként vállalt (Ö)</t>
    </r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</si>
</sst>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.00\ _F_t_-;\-* #,##0.00\ _F_t_-;_-* \-??\ _F_t_-;_-@_-"/>
    <numFmt numFmtId="167" formatCode="_(* #,##0_);_(* \(#,##0\);_(* \-??_);_(@_)"/>
    <numFmt numFmtId="168" formatCode="#,##0.000"/>
    <numFmt numFmtId="169" formatCode="[$-40E]General"/>
    <numFmt numFmtId="170" formatCode="[$-40E]#,##0"/>
    <numFmt numFmtId="171" formatCode="_-* #,##0\ _F_t_-;\-* #,##0\ _F_t_-;_-* &quot;-&quot;??\ _F_t_-;_-@_-"/>
    <numFmt numFmtId="172" formatCode="#,##0.0"/>
    <numFmt numFmtId="173" formatCode="0.0"/>
    <numFmt numFmtId="174" formatCode="_-* #,##0.0\ _F_t_-;\-* #,##0.0\ _F_t_-;_-* &quot;-&quot;??\ _F_t_-;_-@_-"/>
    <numFmt numFmtId="175" formatCode="yyyy/mm/dd;@"/>
    <numFmt numFmtId="176" formatCode="0.000"/>
    <numFmt numFmtId="177" formatCode="#,##0\ &quot;Ft&quot;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0000\ _F_t_-;\-* #,##0.00000\ _F_t_-;_-* &quot;-&quot;??\ _F_t_-;_-@_-"/>
    <numFmt numFmtId="181" formatCode="_-* #,##0.000000\ _F_t_-;\-* #,##0.000000\ _F_t_-;_-* &quot;-&quot;??\ _F_t_-;_-@_-"/>
    <numFmt numFmtId="182" formatCode="_-* #,##0.000000\ _F_t_-;\-* #,##0.000000\ _F_t_-;_-* &quot;-&quot;??????\ _F_t_-;_-@_-"/>
    <numFmt numFmtId="183" formatCode="_-* #,##0.00000\ _F_t_-;\-* #,##0.00000\ _F_t_-;_-* &quot;-&quot;??????\ _F_t_-;_-@_-"/>
    <numFmt numFmtId="184" formatCode="_-* #,##0.0000\ _F_t_-;\-* #,##0.0000\ _F_t_-;_-* &quot;-&quot;??????\ _F_t_-;_-@_-"/>
    <numFmt numFmtId="185" formatCode="_-* #,##0.000\ _F_t_-;\-* #,##0.000\ _F_t_-;_-* &quot;-&quot;??????\ _F_t_-;_-@_-"/>
    <numFmt numFmtId="186" formatCode="_-* #,##0.00\ _F_t_-;\-* #,##0.00\ _F_t_-;_-* &quot;-&quot;??????\ _F_t_-;_-@_-"/>
    <numFmt numFmtId="187" formatCode="_-* #,##0.0\ _F_t_-;\-* #,##0.0\ _F_t_-;_-* &quot;-&quot;??????\ _F_t_-;_-@_-"/>
    <numFmt numFmtId="188" formatCode="_-* #,##0\ _F_t_-;\-* #,##0\ _F_t_-;_-* &quot;-&quot;??????\ _F_t_-;_-@_-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[$¥€-2]\ #\ ##,000_);[Red]\([$€-2]\ #\ ##,000\)"/>
    <numFmt numFmtId="193" formatCode="_(* #,##0.0_);_(* \(#,##0.0\);_(* \-??_);_(@_)"/>
    <numFmt numFmtId="194" formatCode="_(* #,##0.00_);_(* \(#,##0.00\);_(* \-??_);_(@_)"/>
    <numFmt numFmtId="195" formatCode="#,##0_ ;\-#,##0\ "/>
    <numFmt numFmtId="196" formatCode="[$€-2]\ #,##0"/>
    <numFmt numFmtId="197" formatCode="_-* #,##0_-;\-* #,##0_-;_-* &quot;-&quot;??_-;_-@_-"/>
    <numFmt numFmtId="198" formatCode="#,##0.0_ ;\-#,##0.0\ "/>
  </numFmts>
  <fonts count="94">
    <font>
      <sz val="10"/>
      <name val="Arial CE"/>
      <family val="0"/>
    </font>
    <font>
      <sz val="11"/>
      <color indexed="8"/>
      <name val="Calibri"/>
      <family val="2"/>
    </font>
    <font>
      <sz val="8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8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i/>
      <sz val="13"/>
      <name val="Arial"/>
      <family val="2"/>
    </font>
    <font>
      <i/>
      <sz val="10"/>
      <name val="Times New Roman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Garamond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i/>
      <sz val="9"/>
      <name val="Times New Roman CE"/>
      <family val="0"/>
    </font>
    <font>
      <i/>
      <sz val="14"/>
      <name val="Times New Roman CE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3"/>
      <name val="Times New Roman CE"/>
      <family val="0"/>
    </font>
    <font>
      <b/>
      <sz val="10"/>
      <name val="Garamond"/>
      <family val="1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 CE"/>
      <family val="0"/>
    </font>
    <font>
      <sz val="11"/>
      <name val="Cambria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/>
      <bottom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/>
      <bottom style="double">
        <color indexed="63"/>
      </bottom>
    </border>
    <border>
      <left style="thin">
        <color indexed="63"/>
      </left>
      <right style="double">
        <color indexed="63"/>
      </right>
      <top/>
      <bottom style="double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double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thin"/>
      <top style="double"/>
      <bottom style="double">
        <color indexed="63"/>
      </bottom>
    </border>
    <border>
      <left/>
      <right style="thin"/>
      <top style="double"/>
      <bottom style="double">
        <color indexed="63"/>
      </bottom>
    </border>
    <border>
      <left style="thin"/>
      <right style="thin"/>
      <top style="double"/>
      <bottom style="double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/>
    </border>
    <border>
      <left/>
      <right/>
      <top style="double">
        <color indexed="63"/>
      </top>
      <bottom/>
    </border>
    <border>
      <left/>
      <right style="thin">
        <color indexed="63"/>
      </right>
      <top style="double">
        <color indexed="63"/>
      </top>
      <bottom/>
    </border>
    <border>
      <left style="thin">
        <color indexed="63"/>
      </left>
      <right style="thin">
        <color indexed="63"/>
      </right>
      <top style="double">
        <color indexed="63"/>
      </top>
      <bottom/>
    </border>
    <border>
      <left style="thin">
        <color indexed="63"/>
      </left>
      <right style="double">
        <color indexed="63"/>
      </right>
      <top style="double">
        <color indexed="63"/>
      </top>
      <bottom/>
    </border>
    <border>
      <left style="double">
        <color indexed="63"/>
      </left>
      <right style="thin">
        <color indexed="63"/>
      </right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double">
        <color indexed="63"/>
      </right>
      <top/>
      <bottom/>
    </border>
    <border>
      <left style="double">
        <color indexed="63"/>
      </left>
      <right style="thin">
        <color indexed="63"/>
      </right>
      <top/>
      <bottom style="double">
        <color indexed="63"/>
      </bottom>
    </border>
    <border>
      <left/>
      <right style="thin">
        <color indexed="63"/>
      </right>
      <top/>
      <bottom style="double">
        <color indexed="63"/>
      </bottom>
    </border>
    <border>
      <left style="thin">
        <color indexed="63"/>
      </left>
      <right style="thin">
        <color indexed="63"/>
      </right>
      <top/>
      <bottom style="double">
        <color indexed="63"/>
      </bottom>
    </border>
    <border>
      <left style="thin">
        <color indexed="63"/>
      </left>
      <right/>
      <top/>
      <bottom style="double"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double">
        <color indexed="8"/>
      </right>
      <top style="double"/>
      <bottom style="double">
        <color indexed="8"/>
      </bottom>
    </border>
    <border>
      <left style="thin"/>
      <right style="double"/>
      <top style="double"/>
      <bottom style="double"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63"/>
      </right>
      <top/>
      <bottom style="thin"/>
    </border>
    <border>
      <left style="thin">
        <color indexed="63"/>
      </left>
      <right/>
      <top style="double">
        <color indexed="63"/>
      </top>
      <bottom/>
    </border>
  </borders>
  <cellStyleXfs count="88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169" fontId="17" fillId="0" borderId="0">
      <alignment/>
      <protection/>
    </xf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166" fontId="0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72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3" fontId="10" fillId="0" borderId="0">
      <alignment vertical="center"/>
      <protection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72" fillId="0" borderId="0">
      <alignment/>
      <protection/>
    </xf>
    <xf numFmtId="0" fontId="11" fillId="0" borderId="0">
      <alignment/>
      <protection/>
    </xf>
    <xf numFmtId="0" fontId="7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7" fillId="0" borderId="9" applyNumberFormat="0" applyFill="0" applyAlignment="0" applyProtection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10" fillId="0" borderId="0">
      <alignment vertical="center"/>
      <protection/>
    </xf>
    <xf numFmtId="0" fontId="90" fillId="30" borderId="1" applyNumberFormat="0" applyAlignment="0" applyProtection="0"/>
    <xf numFmtId="9" fontId="72" fillId="0" borderId="0" applyFont="0" applyFill="0" applyBorder="0" applyAlignment="0" applyProtection="0"/>
  </cellStyleXfs>
  <cellXfs count="81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0" fillId="33" borderId="10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9" fillId="0" borderId="0" xfId="67" applyFont="1" applyFill="1">
      <alignment/>
      <protection/>
    </xf>
    <xf numFmtId="0" fontId="11" fillId="0" borderId="0" xfId="67">
      <alignment/>
      <protection/>
    </xf>
    <xf numFmtId="3" fontId="11" fillId="0" borderId="0" xfId="67" applyNumberFormat="1">
      <alignment/>
      <protection/>
    </xf>
    <xf numFmtId="3" fontId="11" fillId="0" borderId="0" xfId="67" applyNumberFormat="1" applyFont="1">
      <alignment/>
      <protection/>
    </xf>
    <xf numFmtId="0" fontId="11" fillId="0" borderId="0" xfId="67" applyFont="1">
      <alignment/>
      <protection/>
    </xf>
    <xf numFmtId="0" fontId="24" fillId="0" borderId="0" xfId="67" applyFont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5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175" fontId="2" fillId="33" borderId="0" xfId="79" applyNumberFormat="1" applyFont="1" applyFill="1">
      <alignment/>
      <protection/>
    </xf>
    <xf numFmtId="0" fontId="11" fillId="33" borderId="0" xfId="79" applyFill="1" applyAlignment="1">
      <alignment horizontal="center"/>
      <protection/>
    </xf>
    <xf numFmtId="0" fontId="3" fillId="33" borderId="0" xfId="79" applyFont="1" applyFill="1">
      <alignment/>
      <protection/>
    </xf>
    <xf numFmtId="0" fontId="3" fillId="33" borderId="0" xfId="79" applyFont="1" applyFill="1" applyBorder="1">
      <alignment/>
      <protection/>
    </xf>
    <xf numFmtId="0" fontId="3" fillId="0" borderId="0" xfId="79" applyFont="1" applyFill="1">
      <alignment/>
      <protection/>
    </xf>
    <xf numFmtId="0" fontId="3" fillId="0" borderId="0" xfId="79" applyFont="1">
      <alignment/>
      <protection/>
    </xf>
    <xf numFmtId="0" fontId="6" fillId="33" borderId="0" xfId="79" applyFont="1" applyFill="1" applyBorder="1" applyAlignment="1">
      <alignment vertical="center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wrapText="1"/>
    </xf>
    <xf numFmtId="0" fontId="28" fillId="0" borderId="0" xfId="67" applyFont="1" applyFill="1" applyBorder="1" applyAlignment="1">
      <alignment horizontal="center" vertical="center"/>
      <protection/>
    </xf>
    <xf numFmtId="0" fontId="20" fillId="0" borderId="0" xfId="67" applyFont="1" applyFill="1" applyAlignment="1">
      <alignment vertical="center"/>
      <protection/>
    </xf>
    <xf numFmtId="3" fontId="19" fillId="0" borderId="0" xfId="67" applyNumberFormat="1" applyFont="1" applyFill="1" applyBorder="1" applyAlignment="1">
      <alignment horizontal="right" vertical="center" wrapText="1"/>
      <protection/>
    </xf>
    <xf numFmtId="0" fontId="20" fillId="0" borderId="0" xfId="67" applyFont="1" applyFill="1">
      <alignment/>
      <protection/>
    </xf>
    <xf numFmtId="3" fontId="21" fillId="0" borderId="0" xfId="67" applyNumberFormat="1" applyFont="1" applyFill="1" applyBorder="1" applyAlignment="1">
      <alignment horizontal="right" vertical="center" wrapText="1"/>
      <protection/>
    </xf>
    <xf numFmtId="3" fontId="29" fillId="0" borderId="0" xfId="67" applyNumberFormat="1" applyFont="1" applyFill="1" applyBorder="1" applyAlignment="1">
      <alignment horizontal="right" vertical="center" wrapText="1"/>
      <protection/>
    </xf>
    <xf numFmtId="3" fontId="30" fillId="0" borderId="0" xfId="67" applyNumberFormat="1" applyFont="1" applyFill="1" applyBorder="1" applyAlignment="1">
      <alignment horizontal="right" vertical="center" wrapText="1"/>
      <protection/>
    </xf>
    <xf numFmtId="3" fontId="30" fillId="0" borderId="0" xfId="67" applyNumberFormat="1" applyFont="1" applyFill="1" applyBorder="1" applyAlignment="1">
      <alignment horizontal="right" vertical="center"/>
      <protection/>
    </xf>
    <xf numFmtId="3" fontId="19" fillId="0" borderId="0" xfId="67" applyNumberFormat="1" applyFont="1" applyFill="1" applyBorder="1" applyAlignment="1">
      <alignment horizontal="right" vertical="center"/>
      <protection/>
    </xf>
    <xf numFmtId="3" fontId="21" fillId="0" borderId="0" xfId="67" applyNumberFormat="1" applyFont="1" applyFill="1" applyBorder="1" applyAlignment="1">
      <alignment horizontal="right" vertical="center"/>
      <protection/>
    </xf>
    <xf numFmtId="3" fontId="29" fillId="0" borderId="0" xfId="67" applyNumberFormat="1" applyFont="1" applyFill="1" applyBorder="1" applyAlignment="1">
      <alignment horizontal="right" vertical="center"/>
      <protection/>
    </xf>
    <xf numFmtId="3" fontId="20" fillId="0" borderId="0" xfId="67" applyNumberFormat="1" applyFont="1" applyFill="1">
      <alignment/>
      <protection/>
    </xf>
    <xf numFmtId="3" fontId="22" fillId="0" borderId="0" xfId="67" applyNumberFormat="1" applyFont="1" applyFill="1" applyBorder="1" applyAlignment="1">
      <alignment horizontal="right" vertical="center" wrapText="1"/>
      <protection/>
    </xf>
    <xf numFmtId="0" fontId="19" fillId="0" borderId="0" xfId="67" applyFont="1" applyFill="1" applyBorder="1" applyAlignment="1">
      <alignment horizontal="center" vertical="center"/>
      <protection/>
    </xf>
    <xf numFmtId="3" fontId="31" fillId="0" borderId="0" xfId="67" applyNumberFormat="1" applyFont="1" applyFill="1" applyBorder="1" applyAlignment="1">
      <alignment horizontal="right" vertical="center" wrapText="1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11" fillId="0" borderId="0" xfId="67" applyFill="1" applyBorder="1" applyAlignment="1">
      <alignment horizontal="center" vertical="center"/>
      <protection/>
    </xf>
    <xf numFmtId="0" fontId="11" fillId="0" borderId="0" xfId="67" applyFont="1" applyFill="1" applyBorder="1" applyAlignment="1">
      <alignment horizontal="center" vertical="center" wrapText="1"/>
      <protection/>
    </xf>
    <xf numFmtId="0" fontId="11" fillId="0" borderId="0" xfId="67" applyFill="1" applyBorder="1" applyAlignment="1">
      <alignment horizontal="center" vertical="center" wrapText="1"/>
      <protection/>
    </xf>
    <xf numFmtId="3" fontId="19" fillId="0" borderId="0" xfId="67" applyNumberFormat="1" applyFont="1" applyFill="1" applyBorder="1" applyAlignment="1">
      <alignment horizontal="center" vertical="center"/>
      <protection/>
    </xf>
    <xf numFmtId="3" fontId="21" fillId="0" borderId="0" xfId="67" applyNumberFormat="1" applyFont="1" applyFill="1" applyBorder="1" applyAlignment="1">
      <alignment horizontal="center" vertical="center" wrapText="1"/>
      <protection/>
    </xf>
    <xf numFmtId="3" fontId="28" fillId="0" borderId="0" xfId="67" applyNumberFormat="1" applyFont="1" applyFill="1" applyBorder="1" applyAlignment="1">
      <alignment horizontal="center" vertical="center" wrapText="1"/>
      <protection/>
    </xf>
    <xf numFmtId="3" fontId="20" fillId="0" borderId="0" xfId="67" applyNumberFormat="1" applyFont="1" applyFill="1" applyBorder="1" applyAlignment="1">
      <alignment horizontal="center" vertical="center"/>
      <protection/>
    </xf>
    <xf numFmtId="3" fontId="28" fillId="0" borderId="0" xfId="67" applyNumberFormat="1" applyFont="1" applyFill="1" applyBorder="1" applyAlignment="1">
      <alignment horizontal="right" vertical="center" wrapText="1"/>
      <protection/>
    </xf>
    <xf numFmtId="3" fontId="20" fillId="0" borderId="0" xfId="67" applyNumberFormat="1" applyFont="1" applyFill="1" applyBorder="1" applyAlignment="1">
      <alignment horizontal="right" vertical="center" wrapText="1"/>
      <protection/>
    </xf>
    <xf numFmtId="3" fontId="32" fillId="0" borderId="0" xfId="67" applyNumberFormat="1" applyFont="1" applyFill="1" applyBorder="1" applyAlignment="1">
      <alignment horizontal="right" vertical="center" wrapText="1"/>
      <protection/>
    </xf>
    <xf numFmtId="0" fontId="19" fillId="0" borderId="0" xfId="67" applyFont="1" applyFill="1" applyBorder="1">
      <alignment/>
      <protection/>
    </xf>
    <xf numFmtId="0" fontId="20" fillId="0" borderId="0" xfId="67" applyFont="1" applyFill="1" applyBorder="1">
      <alignment/>
      <protection/>
    </xf>
    <xf numFmtId="0" fontId="10" fillId="33" borderId="11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>
      <alignment/>
    </xf>
    <xf numFmtId="171" fontId="3" fillId="0" borderId="0" xfId="41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4" fontId="19" fillId="0" borderId="0" xfId="67" applyNumberFormat="1" applyFont="1" applyFill="1" applyBorder="1" applyAlignment="1">
      <alignment horizontal="right" vertical="center" wrapText="1"/>
      <protection/>
    </xf>
    <xf numFmtId="3" fontId="3" fillId="33" borderId="0" xfId="79" applyNumberFormat="1" applyFont="1" applyFill="1">
      <alignment/>
      <protection/>
    </xf>
    <xf numFmtId="0" fontId="4" fillId="0" borderId="0" xfId="79" applyFont="1">
      <alignment/>
      <protection/>
    </xf>
    <xf numFmtId="0" fontId="4" fillId="33" borderId="12" xfId="79" applyFont="1" applyFill="1" applyBorder="1" applyAlignment="1">
      <alignment horizontal="center" vertical="center"/>
      <protection/>
    </xf>
    <xf numFmtId="0" fontId="4" fillId="0" borderId="12" xfId="79" applyFont="1" applyFill="1" applyBorder="1" applyAlignment="1">
      <alignment horizontal="center" vertical="center" wrapText="1"/>
      <protection/>
    </xf>
    <xf numFmtId="0" fontId="4" fillId="0" borderId="13" xfId="79" applyFont="1" applyFill="1" applyBorder="1" applyAlignment="1">
      <alignment horizontal="center" vertical="center" wrapText="1"/>
      <protection/>
    </xf>
    <xf numFmtId="3" fontId="3" fillId="0" borderId="0" xfId="79" applyNumberFormat="1" applyFont="1" applyFill="1" applyBorder="1" applyAlignment="1">
      <alignment horizontal="center" vertical="center"/>
      <protection/>
    </xf>
    <xf numFmtId="0" fontId="3" fillId="0" borderId="0" xfId="79" applyFont="1" applyFill="1" applyAlignment="1">
      <alignment horizontal="center" vertical="center"/>
      <protection/>
    </xf>
    <xf numFmtId="0" fontId="8" fillId="0" borderId="14" xfId="79" applyFont="1" applyFill="1" applyBorder="1" applyAlignment="1">
      <alignment horizontal="left"/>
      <protection/>
    </xf>
    <xf numFmtId="3" fontId="8" fillId="0" borderId="14" xfId="79" applyNumberFormat="1" applyFont="1" applyFill="1" applyBorder="1" applyAlignment="1">
      <alignment horizontal="left"/>
      <protection/>
    </xf>
    <xf numFmtId="3" fontId="3" fillId="0" borderId="0" xfId="79" applyNumberFormat="1" applyFont="1" applyFill="1" applyBorder="1" applyAlignment="1">
      <alignment horizontal="left"/>
      <protection/>
    </xf>
    <xf numFmtId="0" fontId="3" fillId="0" borderId="0" xfId="79" applyFont="1" applyFill="1" applyAlignment="1">
      <alignment horizontal="left"/>
      <protection/>
    </xf>
    <xf numFmtId="0" fontId="3" fillId="0" borderId="14" xfId="79" applyFont="1" applyFill="1" applyBorder="1" applyAlignment="1">
      <alignment horizontal="left"/>
      <protection/>
    </xf>
    <xf numFmtId="0" fontId="6" fillId="33" borderId="14" xfId="79" applyFont="1" applyFill="1" applyBorder="1" applyAlignment="1">
      <alignment horizontal="left" wrapText="1"/>
      <protection/>
    </xf>
    <xf numFmtId="0" fontId="6" fillId="0" borderId="14" xfId="79" applyFont="1" applyFill="1" applyBorder="1" applyAlignment="1">
      <alignment horizontal="left"/>
      <protection/>
    </xf>
    <xf numFmtId="0" fontId="6" fillId="0" borderId="14" xfId="79" applyFont="1" applyFill="1" applyBorder="1" applyAlignment="1">
      <alignment horizontal="left" wrapText="1"/>
      <protection/>
    </xf>
    <xf numFmtId="0" fontId="6" fillId="0" borderId="14" xfId="79" applyFont="1" applyFill="1" applyBorder="1" applyAlignment="1">
      <alignment horizontal="left"/>
      <protection/>
    </xf>
    <xf numFmtId="0" fontId="6" fillId="0" borderId="14" xfId="79" applyFont="1" applyFill="1" applyBorder="1" applyAlignment="1">
      <alignment horizontal="left" wrapText="1"/>
      <protection/>
    </xf>
    <xf numFmtId="0" fontId="8" fillId="0" borderId="12" xfId="79" applyFont="1" applyFill="1" applyBorder="1" applyAlignment="1">
      <alignment horizontal="left"/>
      <protection/>
    </xf>
    <xf numFmtId="3" fontId="6" fillId="0" borderId="14" xfId="79" applyNumberFormat="1" applyFont="1" applyFill="1" applyBorder="1" applyAlignment="1" applyProtection="1">
      <alignment horizontal="right"/>
      <protection hidden="1"/>
    </xf>
    <xf numFmtId="3" fontId="8" fillId="0" borderId="14" xfId="79" applyNumberFormat="1" applyFont="1" applyFill="1" applyBorder="1" applyAlignment="1">
      <alignment horizontal="right"/>
      <protection/>
    </xf>
    <xf numFmtId="3" fontId="6" fillId="0" borderId="14" xfId="79" applyNumberFormat="1" applyFont="1" applyFill="1" applyBorder="1" applyAlignment="1" applyProtection="1">
      <alignment horizontal="right"/>
      <protection locked="0"/>
    </xf>
    <xf numFmtId="3" fontId="6" fillId="0" borderId="14" xfId="79" applyNumberFormat="1" applyFont="1" applyFill="1" applyBorder="1" applyAlignment="1">
      <alignment horizontal="right"/>
      <protection/>
    </xf>
    <xf numFmtId="0" fontId="3" fillId="0" borderId="14" xfId="79" applyFont="1" applyFill="1" applyBorder="1" applyAlignment="1">
      <alignment horizontal="right"/>
      <protection/>
    </xf>
    <xf numFmtId="3" fontId="8" fillId="0" borderId="14" xfId="79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/>
    </xf>
    <xf numFmtId="0" fontId="10" fillId="33" borderId="14" xfId="0" applyFont="1" applyFill="1" applyBorder="1" applyAlignment="1" applyProtection="1">
      <alignment/>
      <protection/>
    </xf>
    <xf numFmtId="3" fontId="10" fillId="0" borderId="14" xfId="0" applyNumberFormat="1" applyFont="1" applyFill="1" applyBorder="1" applyAlignment="1" applyProtection="1">
      <alignment horizontal="right"/>
      <protection locked="0"/>
    </xf>
    <xf numFmtId="43" fontId="10" fillId="0" borderId="14" xfId="41" applyFont="1" applyFill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/>
      <protection locked="0"/>
    </xf>
    <xf numFmtId="3" fontId="10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4" fillId="0" borderId="13" xfId="0" applyNumberFormat="1" applyFont="1" applyFill="1" applyBorder="1" applyAlignment="1" applyProtection="1">
      <alignment horizontal="right"/>
      <protection/>
    </xf>
    <xf numFmtId="0" fontId="34" fillId="0" borderId="0" xfId="67" applyFont="1" applyAlignment="1">
      <alignment horizontal="center" vertical="center"/>
      <protection/>
    </xf>
    <xf numFmtId="0" fontId="34" fillId="0" borderId="0" xfId="67" applyFont="1" applyBorder="1" applyAlignment="1">
      <alignment vertical="center"/>
      <protection/>
    </xf>
    <xf numFmtId="3" fontId="34" fillId="0" borderId="0" xfId="67" applyNumberFormat="1" applyFont="1" applyBorder="1" applyAlignment="1">
      <alignment vertical="center" wrapText="1"/>
      <protection/>
    </xf>
    <xf numFmtId="0" fontId="34" fillId="0" borderId="0" xfId="67" applyFont="1" applyAlignment="1">
      <alignment vertical="center"/>
      <protection/>
    </xf>
    <xf numFmtId="0" fontId="35" fillId="19" borderId="14" xfId="67" applyFont="1" applyFill="1" applyBorder="1" applyAlignment="1">
      <alignment horizontal="left"/>
      <protection/>
    </xf>
    <xf numFmtId="3" fontId="35" fillId="19" borderId="14" xfId="67" applyNumberFormat="1" applyFont="1" applyFill="1" applyBorder="1" applyAlignment="1">
      <alignment horizontal="right" wrapText="1"/>
      <protection/>
    </xf>
    <xf numFmtId="0" fontId="34" fillId="0" borderId="14" xfId="67" applyFont="1" applyBorder="1" applyAlignment="1">
      <alignment wrapText="1"/>
      <protection/>
    </xf>
    <xf numFmtId="3" fontId="34" fillId="0" borderId="14" xfId="67" applyNumberFormat="1" applyFont="1" applyBorder="1" applyAlignment="1">
      <alignment wrapText="1"/>
      <protection/>
    </xf>
    <xf numFmtId="0" fontId="35" fillId="0" borderId="14" xfId="67" applyFont="1" applyBorder="1" applyAlignment="1">
      <alignment wrapText="1"/>
      <protection/>
    </xf>
    <xf numFmtId="3" fontId="35" fillId="0" borderId="14" xfId="67" applyNumberFormat="1" applyFont="1" applyBorder="1" applyAlignment="1">
      <alignment wrapText="1"/>
      <protection/>
    </xf>
    <xf numFmtId="0" fontId="35" fillId="19" borderId="15" xfId="67" applyFont="1" applyFill="1" applyBorder="1" applyAlignment="1">
      <alignment horizontal="left"/>
      <protection/>
    </xf>
    <xf numFmtId="3" fontId="35" fillId="19" borderId="15" xfId="67" applyNumberFormat="1" applyFont="1" applyFill="1" applyBorder="1" applyAlignment="1">
      <alignment horizontal="right" wrapText="1"/>
      <protection/>
    </xf>
    <xf numFmtId="0" fontId="34" fillId="0" borderId="16" xfId="67" applyFont="1" applyBorder="1" applyAlignment="1">
      <alignment wrapText="1"/>
      <protection/>
    </xf>
    <xf numFmtId="3" fontId="34" fillId="0" borderId="16" xfId="67" applyNumberFormat="1" applyFont="1" applyBorder="1" applyAlignment="1">
      <alignment wrapText="1"/>
      <protection/>
    </xf>
    <xf numFmtId="0" fontId="28" fillId="0" borderId="17" xfId="67" applyFont="1" applyBorder="1" applyAlignment="1">
      <alignment horizontal="center" vertical="center"/>
      <protection/>
    </xf>
    <xf numFmtId="0" fontId="28" fillId="0" borderId="12" xfId="67" applyFont="1" applyBorder="1" applyAlignment="1">
      <alignment horizontal="center" vertical="center" wrapText="1"/>
      <protection/>
    </xf>
    <xf numFmtId="0" fontId="28" fillId="0" borderId="13" xfId="67" applyFont="1" applyBorder="1" applyAlignment="1">
      <alignment horizontal="center" vertical="center" wrapText="1"/>
      <protection/>
    </xf>
    <xf numFmtId="167" fontId="2" fillId="0" borderId="14" xfId="43" applyNumberFormat="1" applyFont="1" applyFill="1" applyBorder="1" applyAlignment="1" applyProtection="1">
      <alignment shrinkToFit="1"/>
      <protection/>
    </xf>
    <xf numFmtId="0" fontId="5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14" xfId="43" applyNumberFormat="1" applyFont="1" applyFill="1" applyBorder="1" applyAlignment="1" applyProtection="1">
      <alignment shrinkToFit="1"/>
      <protection/>
    </xf>
    <xf numFmtId="0" fontId="9" fillId="0" borderId="0" xfId="0" applyFont="1" applyFill="1" applyAlignment="1">
      <alignment wrapText="1"/>
    </xf>
    <xf numFmtId="0" fontId="12" fillId="0" borderId="14" xfId="67" applyFont="1" applyFill="1" applyBorder="1" applyAlignment="1">
      <alignment/>
      <protection/>
    </xf>
    <xf numFmtId="0" fontId="28" fillId="0" borderId="0" xfId="67" applyFont="1" applyAlignment="1">
      <alignment horizontal="center"/>
      <protection/>
    </xf>
    <xf numFmtId="0" fontId="34" fillId="0" borderId="0" xfId="67" applyFont="1">
      <alignment/>
      <protection/>
    </xf>
    <xf numFmtId="0" fontId="20" fillId="0" borderId="18" xfId="67" applyFont="1" applyBorder="1">
      <alignment/>
      <protection/>
    </xf>
    <xf numFmtId="0" fontId="20" fillId="0" borderId="19" xfId="67" applyFont="1" applyBorder="1">
      <alignment/>
      <protection/>
    </xf>
    <xf numFmtId="0" fontId="28" fillId="0" borderId="19" xfId="67" applyFont="1" applyFill="1" applyBorder="1">
      <alignment/>
      <protection/>
    </xf>
    <xf numFmtId="3" fontId="28" fillId="0" borderId="17" xfId="67" applyNumberFormat="1" applyFont="1" applyFill="1" applyBorder="1" applyAlignment="1">
      <alignment horizontal="center" vertical="center" wrapText="1"/>
      <protection/>
    </xf>
    <xf numFmtId="0" fontId="28" fillId="0" borderId="12" xfId="67" applyFont="1" applyFill="1" applyBorder="1" applyAlignment="1">
      <alignment horizontal="center" vertical="center" wrapText="1"/>
      <protection/>
    </xf>
    <xf numFmtId="0" fontId="28" fillId="0" borderId="13" xfId="67" applyFont="1" applyFill="1" applyBorder="1" applyAlignment="1">
      <alignment horizontal="center" vertical="center" wrapText="1"/>
      <protection/>
    </xf>
    <xf numFmtId="0" fontId="21" fillId="0" borderId="0" xfId="67" applyFont="1" applyBorder="1" applyAlignment="1">
      <alignment horizontal="center" vertical="center" wrapText="1"/>
      <protection/>
    </xf>
    <xf numFmtId="0" fontId="23" fillId="0" borderId="0" xfId="67" applyFont="1" applyBorder="1" applyAlignment="1">
      <alignment horizontal="center" vertical="center" wrapText="1"/>
      <protection/>
    </xf>
    <xf numFmtId="0" fontId="35" fillId="33" borderId="17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20" fillId="0" borderId="0" xfId="70" applyFont="1">
      <alignment/>
      <protection/>
    </xf>
    <xf numFmtId="0" fontId="20" fillId="0" borderId="0" xfId="70" applyFont="1" applyAlignment="1">
      <alignment vertical="center"/>
      <protection/>
    </xf>
    <xf numFmtId="0" fontId="20" fillId="0" borderId="0" xfId="70" applyFont="1" applyFill="1" applyBorder="1" applyAlignment="1">
      <alignment vertical="center"/>
      <protection/>
    </xf>
    <xf numFmtId="3" fontId="20" fillId="0" borderId="0" xfId="70" applyNumberFormat="1" applyFont="1" applyAlignment="1">
      <alignment vertical="center"/>
      <protection/>
    </xf>
    <xf numFmtId="0" fontId="20" fillId="0" borderId="0" xfId="70" applyFont="1" applyAlignment="1">
      <alignment horizontal="right"/>
      <protection/>
    </xf>
    <xf numFmtId="0" fontId="20" fillId="0" borderId="0" xfId="67" applyFont="1" applyAlignment="1">
      <alignment horizontal="left" vertical="center"/>
      <protection/>
    </xf>
    <xf numFmtId="0" fontId="34" fillId="0" borderId="0" xfId="0" applyFont="1" applyAlignment="1">
      <alignment/>
    </xf>
    <xf numFmtId="0" fontId="20" fillId="0" borderId="0" xfId="67" applyFont="1" applyFill="1" applyAlignment="1">
      <alignment horizontal="right"/>
      <protection/>
    </xf>
    <xf numFmtId="0" fontId="28" fillId="0" borderId="0" xfId="67" applyFont="1" applyFill="1" applyAlignment="1">
      <alignment horizontal="center"/>
      <protection/>
    </xf>
    <xf numFmtId="3" fontId="28" fillId="0" borderId="12" xfId="67" applyNumberFormat="1" applyFont="1" applyFill="1" applyBorder="1" applyAlignment="1">
      <alignment horizontal="center" vertical="center" wrapText="1"/>
      <protection/>
    </xf>
    <xf numFmtId="3" fontId="28" fillId="0" borderId="13" xfId="67" applyNumberFormat="1" applyFont="1" applyFill="1" applyBorder="1" applyAlignment="1">
      <alignment horizontal="center" vertical="center" wrapText="1"/>
      <protection/>
    </xf>
    <xf numFmtId="3" fontId="20" fillId="0" borderId="14" xfId="67" applyNumberFormat="1" applyFont="1" applyFill="1" applyBorder="1" applyAlignment="1">
      <alignment horizontal="right" wrapText="1"/>
      <protection/>
    </xf>
    <xf numFmtId="3" fontId="20" fillId="0" borderId="14" xfId="67" applyNumberFormat="1" applyFont="1" applyFill="1" applyBorder="1" applyAlignment="1">
      <alignment horizontal="left" wrapText="1"/>
      <protection/>
    </xf>
    <xf numFmtId="3" fontId="28" fillId="0" borderId="12" xfId="67" applyNumberFormat="1" applyFont="1" applyFill="1" applyBorder="1" applyAlignment="1">
      <alignment horizontal="left" wrapText="1"/>
      <protection/>
    </xf>
    <xf numFmtId="3" fontId="28" fillId="0" borderId="12" xfId="67" applyNumberFormat="1" applyFont="1" applyFill="1" applyBorder="1" applyAlignment="1">
      <alignment horizontal="right" wrapText="1"/>
      <protection/>
    </xf>
    <xf numFmtId="3" fontId="28" fillId="0" borderId="13" xfId="67" applyNumberFormat="1" applyFont="1" applyFill="1" applyBorder="1" applyAlignment="1">
      <alignment horizontal="right" wrapText="1"/>
      <protection/>
    </xf>
    <xf numFmtId="0" fontId="20" fillId="33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0" fillId="0" borderId="14" xfId="0" applyFont="1" applyFill="1" applyBorder="1" applyAlignment="1">
      <alignment horizontal="left"/>
    </xf>
    <xf numFmtId="0" fontId="10" fillId="33" borderId="22" xfId="0" applyFont="1" applyFill="1" applyBorder="1" applyAlignment="1" applyProtection="1">
      <alignment horizontal="left"/>
      <protection/>
    </xf>
    <xf numFmtId="3" fontId="10" fillId="0" borderId="22" xfId="0" applyNumberFormat="1" applyFont="1" applyFill="1" applyBorder="1" applyAlignment="1" applyProtection="1">
      <alignment horizontal="right"/>
      <protection/>
    </xf>
    <xf numFmtId="0" fontId="10" fillId="33" borderId="23" xfId="0" applyFont="1" applyFill="1" applyBorder="1" applyAlignment="1" applyProtection="1">
      <alignment/>
      <protection/>
    </xf>
    <xf numFmtId="3" fontId="10" fillId="0" borderId="23" xfId="0" applyNumberFormat="1" applyFont="1" applyFill="1" applyBorder="1" applyAlignment="1" applyProtection="1">
      <alignment horizontal="right"/>
      <protection/>
    </xf>
    <xf numFmtId="0" fontId="10" fillId="33" borderId="17" xfId="0" applyFont="1" applyFill="1" applyBorder="1" applyAlignment="1">
      <alignment horizontal="left"/>
    </xf>
    <xf numFmtId="3" fontId="4" fillId="33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 horizontal="right"/>
      <protection/>
    </xf>
    <xf numFmtId="3" fontId="10" fillId="0" borderId="22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91" fillId="8" borderId="17" xfId="0" applyFont="1" applyFill="1" applyBorder="1" applyAlignment="1">
      <alignment horizontal="center" vertical="center" wrapText="1"/>
    </xf>
    <xf numFmtId="0" fontId="91" fillId="8" borderId="12" xfId="0" applyFont="1" applyFill="1" applyBorder="1" applyAlignment="1">
      <alignment horizontal="center" vertical="center" wrapText="1"/>
    </xf>
    <xf numFmtId="0" fontId="34" fillId="0" borderId="14" xfId="67" applyFont="1" applyBorder="1" applyAlignment="1">
      <alignment horizontal="left"/>
      <protection/>
    </xf>
    <xf numFmtId="0" fontId="35" fillId="0" borderId="14" xfId="67" applyFont="1" applyBorder="1" applyAlignment="1">
      <alignment horizontal="left" wrapText="1"/>
      <protection/>
    </xf>
    <xf numFmtId="16" fontId="34" fillId="0" borderId="14" xfId="67" applyNumberFormat="1" applyFont="1" applyBorder="1" applyAlignment="1">
      <alignment horizontal="left"/>
      <protection/>
    </xf>
    <xf numFmtId="14" fontId="34" fillId="0" borderId="14" xfId="67" applyNumberFormat="1" applyFont="1" applyBorder="1" applyAlignment="1">
      <alignment horizontal="left"/>
      <protection/>
    </xf>
    <xf numFmtId="16" fontId="35" fillId="19" borderId="15" xfId="67" applyNumberFormat="1" applyFont="1" applyFill="1" applyBorder="1" applyAlignment="1">
      <alignment horizontal="left"/>
      <protection/>
    </xf>
    <xf numFmtId="16" fontId="35" fillId="0" borderId="14" xfId="67" applyNumberFormat="1" applyFont="1" applyBorder="1" applyAlignment="1">
      <alignment horizontal="left"/>
      <protection/>
    </xf>
    <xf numFmtId="0" fontId="35" fillId="19" borderId="14" xfId="67" applyFont="1" applyFill="1" applyBorder="1" applyAlignment="1">
      <alignment wrapText="1"/>
      <protection/>
    </xf>
    <xf numFmtId="3" fontId="35" fillId="19" borderId="14" xfId="67" applyNumberFormat="1" applyFont="1" applyFill="1" applyBorder="1" applyAlignment="1">
      <alignment wrapText="1"/>
      <protection/>
    </xf>
    <xf numFmtId="16" fontId="35" fillId="19" borderId="14" xfId="67" applyNumberFormat="1" applyFont="1" applyFill="1" applyBorder="1" applyAlignment="1">
      <alignment horizontal="left"/>
      <protection/>
    </xf>
    <xf numFmtId="0" fontId="20" fillId="0" borderId="0" xfId="67" applyFont="1" applyAlignment="1">
      <alignment horizontal="right" vertical="center"/>
      <protection/>
    </xf>
    <xf numFmtId="0" fontId="35" fillId="0" borderId="0" xfId="67" applyFont="1" applyAlignment="1">
      <alignment vertical="center"/>
      <protection/>
    </xf>
    <xf numFmtId="171" fontId="18" fillId="0" borderId="0" xfId="41" applyNumberFormat="1" applyFont="1" applyAlignment="1">
      <alignment vertical="center"/>
    </xf>
    <xf numFmtId="171" fontId="35" fillId="0" borderId="0" xfId="46" applyNumberFormat="1" applyFont="1" applyAlignment="1">
      <alignment vertical="center"/>
    </xf>
    <xf numFmtId="0" fontId="42" fillId="0" borderId="0" xfId="67" applyFont="1" applyAlignment="1">
      <alignment horizontal="center" vertical="center"/>
      <protection/>
    </xf>
    <xf numFmtId="0" fontId="34" fillId="0" borderId="16" xfId="67" applyFont="1" applyBorder="1" applyAlignment="1">
      <alignment horizontal="left"/>
      <protection/>
    </xf>
    <xf numFmtId="0" fontId="35" fillId="19" borderId="17" xfId="67" applyFont="1" applyFill="1" applyBorder="1" applyAlignment="1">
      <alignment horizontal="center"/>
      <protection/>
    </xf>
    <xf numFmtId="0" fontId="35" fillId="19" borderId="12" xfId="67" applyFont="1" applyFill="1" applyBorder="1" applyAlignment="1">
      <alignment wrapText="1"/>
      <protection/>
    </xf>
    <xf numFmtId="3" fontId="35" fillId="19" borderId="13" xfId="67" applyNumberFormat="1" applyFont="1" applyFill="1" applyBorder="1" applyAlignment="1">
      <alignment wrapText="1"/>
      <protection/>
    </xf>
    <xf numFmtId="0" fontId="34" fillId="34" borderId="17" xfId="67" applyFont="1" applyFill="1" applyBorder="1" applyAlignment="1">
      <alignment horizontal="center" vertical="center"/>
      <protection/>
    </xf>
    <xf numFmtId="0" fontId="35" fillId="34" borderId="12" xfId="67" applyFont="1" applyFill="1" applyBorder="1" applyAlignment="1">
      <alignment/>
      <protection/>
    </xf>
    <xf numFmtId="3" fontId="28" fillId="34" borderId="13" xfId="67" applyNumberFormat="1" applyFont="1" applyFill="1" applyBorder="1" applyAlignment="1">
      <alignment horizontal="center" vertical="center"/>
      <protection/>
    </xf>
    <xf numFmtId="43" fontId="20" fillId="0" borderId="14" xfId="41" applyFont="1" applyFill="1" applyBorder="1" applyAlignment="1">
      <alignment horizontal="center" vertical="center"/>
    </xf>
    <xf numFmtId="0" fontId="20" fillId="0" borderId="0" xfId="70" applyFont="1" applyAlignment="1">
      <alignment vertical="center" wrapText="1"/>
      <protection/>
    </xf>
    <xf numFmtId="43" fontId="28" fillId="0" borderId="14" xfId="41" applyFont="1" applyFill="1" applyBorder="1" applyAlignment="1">
      <alignment horizontal="center" vertical="center"/>
    </xf>
    <xf numFmtId="173" fontId="20" fillId="0" borderId="0" xfId="70" applyNumberFormat="1" applyFont="1" applyAlignment="1">
      <alignment vertical="center"/>
      <protection/>
    </xf>
    <xf numFmtId="0" fontId="20" fillId="0" borderId="0" xfId="70" applyFont="1" applyFill="1">
      <alignment/>
      <protection/>
    </xf>
    <xf numFmtId="177" fontId="34" fillId="0" borderId="14" xfId="0" applyNumberFormat="1" applyFont="1" applyFill="1" applyBorder="1" applyAlignment="1">
      <alignment horizontal="center" vertical="center" wrapText="1"/>
    </xf>
    <xf numFmtId="14" fontId="34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20" fillId="0" borderId="14" xfId="67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49" fontId="10" fillId="0" borderId="14" xfId="0" applyNumberFormat="1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/>
      <protection/>
    </xf>
    <xf numFmtId="43" fontId="4" fillId="0" borderId="14" xfId="41" applyFont="1" applyFill="1" applyBorder="1" applyAlignment="1" applyProtection="1">
      <alignment horizontal="righ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left"/>
      <protection/>
    </xf>
    <xf numFmtId="3" fontId="4" fillId="0" borderId="14" xfId="0" applyNumberFormat="1" applyFont="1" applyFill="1" applyBorder="1" applyAlignment="1" applyProtection="1">
      <alignment horizontal="right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19" fillId="0" borderId="0" xfId="67" applyNumberFormat="1" applyFont="1" applyFill="1" applyBorder="1" applyAlignment="1">
      <alignment vertical="center" wrapText="1"/>
      <protection/>
    </xf>
    <xf numFmtId="0" fontId="20" fillId="0" borderId="0" xfId="67" applyFont="1">
      <alignment/>
      <protection/>
    </xf>
    <xf numFmtId="0" fontId="28" fillId="0" borderId="26" xfId="67" applyFont="1" applyBorder="1">
      <alignment/>
      <protection/>
    </xf>
    <xf numFmtId="167" fontId="9" fillId="0" borderId="0" xfId="0" applyNumberFormat="1" applyFont="1" applyFill="1" applyBorder="1" applyAlignment="1">
      <alignment/>
    </xf>
    <xf numFmtId="0" fontId="28" fillId="0" borderId="12" xfId="67" applyFont="1" applyFill="1" applyBorder="1" applyAlignment="1">
      <alignment horizontal="center" vertical="center"/>
      <protection/>
    </xf>
    <xf numFmtId="0" fontId="28" fillId="0" borderId="17" xfId="67" applyFont="1" applyFill="1" applyBorder="1" applyAlignment="1">
      <alignment horizontal="center" vertical="center" wrapText="1"/>
      <protection/>
    </xf>
    <xf numFmtId="0" fontId="20" fillId="0" borderId="17" xfId="67" applyFont="1" applyBorder="1" applyAlignment="1">
      <alignment horizontal="center"/>
      <protection/>
    </xf>
    <xf numFmtId="0" fontId="28" fillId="0" borderId="27" xfId="67" applyFont="1" applyBorder="1">
      <alignment/>
      <protection/>
    </xf>
    <xf numFmtId="3" fontId="28" fillId="0" borderId="13" xfId="67" applyNumberFormat="1" applyFont="1" applyBorder="1" applyAlignment="1">
      <alignment horizontal="right"/>
      <protection/>
    </xf>
    <xf numFmtId="43" fontId="6" fillId="0" borderId="14" xfId="41" applyFont="1" applyFill="1" applyBorder="1" applyAlignment="1" applyProtection="1">
      <alignment horizontal="right"/>
      <protection hidden="1"/>
    </xf>
    <xf numFmtId="43" fontId="6" fillId="0" borderId="14" xfId="41" applyFont="1" applyFill="1" applyBorder="1" applyAlignment="1" applyProtection="1">
      <alignment horizontal="right"/>
      <protection locked="0"/>
    </xf>
    <xf numFmtId="0" fontId="9" fillId="0" borderId="0" xfId="79" applyFont="1">
      <alignment/>
      <protection/>
    </xf>
    <xf numFmtId="3" fontId="9" fillId="33" borderId="0" xfId="79" applyNumberFormat="1" applyFont="1" applyFill="1">
      <alignment/>
      <protection/>
    </xf>
    <xf numFmtId="43" fontId="9" fillId="33" borderId="0" xfId="41" applyFont="1" applyFill="1" applyAlignment="1">
      <alignment/>
    </xf>
    <xf numFmtId="0" fontId="10" fillId="33" borderId="16" xfId="0" applyFont="1" applyFill="1" applyBorder="1" applyAlignment="1" applyProtection="1">
      <alignment/>
      <protection/>
    </xf>
    <xf numFmtId="43" fontId="10" fillId="0" borderId="16" xfId="41" applyFont="1" applyFill="1" applyBorder="1" applyAlignment="1" applyProtection="1">
      <alignment horizontal="right"/>
      <protection locked="0"/>
    </xf>
    <xf numFmtId="0" fontId="4" fillId="33" borderId="14" xfId="0" applyFont="1" applyFill="1" applyBorder="1" applyAlignment="1" applyProtection="1">
      <alignment/>
      <protection/>
    </xf>
    <xf numFmtId="43" fontId="10" fillId="0" borderId="23" xfId="41" applyFont="1" applyFill="1" applyBorder="1" applyAlignment="1">
      <alignment vertical="center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35" fillId="13" borderId="12" xfId="67" applyFont="1" applyFill="1" applyBorder="1" applyAlignment="1">
      <alignment horizontal="center"/>
      <protection/>
    </xf>
    <xf numFmtId="3" fontId="35" fillId="13" borderId="13" xfId="67" applyNumberFormat="1" applyFont="1" applyFill="1" applyBorder="1" applyAlignment="1">
      <alignment horizontal="right" wrapText="1"/>
      <protection/>
    </xf>
    <xf numFmtId="0" fontId="9" fillId="0" borderId="0" xfId="79" applyFont="1" applyBorder="1">
      <alignment/>
      <protection/>
    </xf>
    <xf numFmtId="0" fontId="3" fillId="0" borderId="0" xfId="79" applyFont="1" applyBorder="1">
      <alignment/>
      <protection/>
    </xf>
    <xf numFmtId="3" fontId="3" fillId="0" borderId="0" xfId="79" applyNumberFormat="1" applyFont="1" applyBorder="1">
      <alignment/>
      <protection/>
    </xf>
    <xf numFmtId="3" fontId="6" fillId="33" borderId="0" xfId="79" applyNumberFormat="1" applyFont="1" applyFill="1" applyBorder="1" applyAlignment="1">
      <alignment horizontal="right" wrapText="1"/>
      <protection/>
    </xf>
    <xf numFmtId="3" fontId="8" fillId="0" borderId="17" xfId="79" applyNumberFormat="1" applyFont="1" applyFill="1" applyBorder="1" applyAlignment="1">
      <alignment horizontal="right"/>
      <protection/>
    </xf>
    <xf numFmtId="3" fontId="8" fillId="0" borderId="12" xfId="79" applyNumberFormat="1" applyFont="1" applyFill="1" applyBorder="1" applyAlignment="1">
      <alignment horizontal="right"/>
      <protection/>
    </xf>
    <xf numFmtId="3" fontId="8" fillId="0" borderId="13" xfId="79" applyNumberFormat="1" applyFont="1" applyFill="1" applyBorder="1" applyAlignment="1">
      <alignment horizontal="right"/>
      <protection/>
    </xf>
    <xf numFmtId="3" fontId="6" fillId="0" borderId="30" xfId="79" applyNumberFormat="1" applyFont="1" applyFill="1" applyBorder="1" applyAlignment="1" applyProtection="1">
      <alignment horizontal="right"/>
      <protection hidden="1"/>
    </xf>
    <xf numFmtId="0" fontId="6" fillId="33" borderId="22" xfId="79" applyFont="1" applyFill="1" applyBorder="1" applyAlignment="1">
      <alignment horizontal="left" wrapText="1"/>
      <protection/>
    </xf>
    <xf numFmtId="3" fontId="6" fillId="0" borderId="22" xfId="79" applyNumberFormat="1" applyFont="1" applyFill="1" applyBorder="1" applyAlignment="1" applyProtection="1">
      <alignment horizontal="right"/>
      <protection hidden="1"/>
    </xf>
    <xf numFmtId="3" fontId="6" fillId="33" borderId="31" xfId="79" applyNumberFormat="1" applyFont="1" applyFill="1" applyBorder="1" applyAlignment="1">
      <alignment horizontal="right" wrapText="1"/>
      <protection/>
    </xf>
    <xf numFmtId="43" fontId="6" fillId="0" borderId="28" xfId="41" applyFont="1" applyFill="1" applyBorder="1" applyAlignment="1" applyProtection="1">
      <alignment horizontal="right"/>
      <protection hidden="1"/>
    </xf>
    <xf numFmtId="3" fontId="6" fillId="33" borderId="29" xfId="79" applyNumberFormat="1" applyFont="1" applyFill="1" applyBorder="1" applyAlignment="1">
      <alignment horizontal="right" wrapText="1"/>
      <protection/>
    </xf>
    <xf numFmtId="3" fontId="6" fillId="0" borderId="28" xfId="79" applyNumberFormat="1" applyFont="1" applyFill="1" applyBorder="1" applyAlignment="1" applyProtection="1">
      <alignment horizontal="right"/>
      <protection hidden="1"/>
    </xf>
    <xf numFmtId="3" fontId="6" fillId="0" borderId="29" xfId="79" applyNumberFormat="1" applyFont="1" applyFill="1" applyBorder="1" applyAlignment="1">
      <alignment horizontal="right" wrapText="1"/>
      <protection/>
    </xf>
    <xf numFmtId="3" fontId="8" fillId="0" borderId="28" xfId="79" applyNumberFormat="1" applyFont="1" applyFill="1" applyBorder="1" applyAlignment="1">
      <alignment horizontal="right"/>
      <protection/>
    </xf>
    <xf numFmtId="3" fontId="8" fillId="0" borderId="29" xfId="79" applyNumberFormat="1" applyFont="1" applyFill="1" applyBorder="1" applyAlignment="1">
      <alignment horizontal="right"/>
      <protection/>
    </xf>
    <xf numFmtId="3" fontId="6" fillId="0" borderId="28" xfId="79" applyNumberFormat="1" applyFont="1" applyFill="1" applyBorder="1" applyAlignment="1" applyProtection="1">
      <alignment horizontal="right"/>
      <protection locked="0"/>
    </xf>
    <xf numFmtId="3" fontId="6" fillId="0" borderId="29" xfId="79" applyNumberFormat="1" applyFont="1" applyFill="1" applyBorder="1" applyAlignment="1" applyProtection="1">
      <alignment horizontal="right"/>
      <protection hidden="1"/>
    </xf>
    <xf numFmtId="3" fontId="6" fillId="0" borderId="28" xfId="79" applyNumberFormat="1" applyFont="1" applyFill="1" applyBorder="1" applyAlignment="1">
      <alignment horizontal="right"/>
      <protection/>
    </xf>
    <xf numFmtId="43" fontId="6" fillId="0" borderId="28" xfId="41" applyFont="1" applyFill="1" applyBorder="1" applyAlignment="1" applyProtection="1">
      <alignment horizontal="right"/>
      <protection locked="0"/>
    </xf>
    <xf numFmtId="0" fontId="3" fillId="0" borderId="28" xfId="79" applyFont="1" applyFill="1" applyBorder="1" applyAlignment="1">
      <alignment horizontal="right"/>
      <protection/>
    </xf>
    <xf numFmtId="3" fontId="8" fillId="0" borderId="28" xfId="79" applyNumberFormat="1" applyFont="1" applyFill="1" applyBorder="1" applyAlignment="1" applyProtection="1">
      <alignment horizontal="right"/>
      <protection locked="0"/>
    </xf>
    <xf numFmtId="3" fontId="6" fillId="0" borderId="29" xfId="79" applyNumberFormat="1" applyFont="1" applyFill="1" applyBorder="1" applyAlignment="1">
      <alignment horizontal="right"/>
      <protection/>
    </xf>
    <xf numFmtId="3" fontId="6" fillId="0" borderId="29" xfId="79" applyNumberFormat="1" applyFont="1" applyFill="1" applyBorder="1" applyAlignment="1">
      <alignment horizontal="right"/>
      <protection/>
    </xf>
    <xf numFmtId="3" fontId="6" fillId="0" borderId="29" xfId="79" applyNumberFormat="1" applyFont="1" applyFill="1" applyBorder="1" applyAlignment="1" applyProtection="1">
      <alignment horizontal="right"/>
      <protection hidden="1"/>
    </xf>
    <xf numFmtId="3" fontId="8" fillId="0" borderId="32" xfId="79" applyNumberFormat="1" applyFont="1" applyFill="1" applyBorder="1" applyAlignment="1">
      <alignment horizontal="right"/>
      <protection/>
    </xf>
    <xf numFmtId="0" fontId="8" fillId="0" borderId="23" xfId="79" applyFont="1" applyFill="1" applyBorder="1" applyAlignment="1">
      <alignment horizontal="left"/>
      <protection/>
    </xf>
    <xf numFmtId="3" fontId="8" fillId="0" borderId="23" xfId="79" applyNumberFormat="1" applyFont="1" applyFill="1" applyBorder="1" applyAlignment="1">
      <alignment horizontal="right"/>
      <protection/>
    </xf>
    <xf numFmtId="3" fontId="8" fillId="0" borderId="33" xfId="79" applyNumberFormat="1" applyFont="1" applyFill="1" applyBorder="1" applyAlignment="1">
      <alignment horizontal="right"/>
      <protection/>
    </xf>
    <xf numFmtId="0" fontId="43" fillId="0" borderId="14" xfId="0" applyFont="1" applyFill="1" applyBorder="1" applyAlignment="1" applyProtection="1">
      <alignment/>
      <protection/>
    </xf>
    <xf numFmtId="0" fontId="20" fillId="0" borderId="14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 applyProtection="1">
      <alignment horizontal="center"/>
      <protection/>
    </xf>
    <xf numFmtId="3" fontId="10" fillId="0" borderId="29" xfId="0" applyNumberFormat="1" applyFont="1" applyFill="1" applyBorder="1" applyAlignment="1" applyProtection="1">
      <alignment horizontal="right"/>
      <protection locked="0"/>
    </xf>
    <xf numFmtId="43" fontId="4" fillId="0" borderId="29" xfId="41" applyFont="1" applyFill="1" applyBorder="1" applyAlignment="1" applyProtection="1">
      <alignment horizontal="right"/>
      <protection/>
    </xf>
    <xf numFmtId="0" fontId="3" fillId="0" borderId="28" xfId="0" applyFont="1" applyFill="1" applyBorder="1" applyAlignment="1">
      <alignment/>
    </xf>
    <xf numFmtId="49" fontId="4" fillId="0" borderId="28" xfId="0" applyNumberFormat="1" applyFont="1" applyFill="1" applyBorder="1" applyAlignment="1" applyProtection="1">
      <alignment horizontal="center"/>
      <protection/>
    </xf>
    <xf numFmtId="3" fontId="4" fillId="0" borderId="29" xfId="0" applyNumberFormat="1" applyFont="1" applyFill="1" applyBorder="1" applyAlignment="1" applyProtection="1">
      <alignment horizontal="right"/>
      <protection/>
    </xf>
    <xf numFmtId="0" fontId="10" fillId="0" borderId="23" xfId="0" applyFont="1" applyFill="1" applyBorder="1" applyAlignment="1" applyProtection="1">
      <alignment horizontal="left"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22" xfId="0" applyFont="1" applyFill="1" applyBorder="1" applyAlignment="1">
      <alignment horizontal="left"/>
    </xf>
    <xf numFmtId="49" fontId="4" fillId="0" borderId="32" xfId="0" applyNumberFormat="1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3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3" fontId="4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10" fillId="33" borderId="22" xfId="79" applyFont="1" applyFill="1" applyBorder="1" applyAlignment="1">
      <alignment horizontal="left" wrapText="1"/>
      <protection/>
    </xf>
    <xf numFmtId="0" fontId="10" fillId="33" borderId="14" xfId="79" applyFont="1" applyFill="1" applyBorder="1" applyAlignment="1">
      <alignment horizontal="left" wrapText="1"/>
      <protection/>
    </xf>
    <xf numFmtId="0" fontId="10" fillId="0" borderId="14" xfId="79" applyFont="1" applyFill="1" applyBorder="1" applyAlignment="1">
      <alignment horizontal="left" wrapText="1"/>
      <protection/>
    </xf>
    <xf numFmtId="0" fontId="10" fillId="0" borderId="14" xfId="79" applyFont="1" applyFill="1" applyBorder="1" applyAlignment="1">
      <alignment horizontal="left"/>
      <protection/>
    </xf>
    <xf numFmtId="0" fontId="10" fillId="33" borderId="14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 wrapText="1"/>
    </xf>
    <xf numFmtId="3" fontId="10" fillId="0" borderId="22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 wrapText="1"/>
    </xf>
    <xf numFmtId="3" fontId="10" fillId="0" borderId="29" xfId="0" applyNumberFormat="1" applyFont="1" applyFill="1" applyBorder="1" applyAlignment="1">
      <alignment horizontal="right"/>
    </xf>
    <xf numFmtId="3" fontId="10" fillId="0" borderId="14" xfId="41" applyNumberFormat="1" applyFont="1" applyFill="1" applyBorder="1" applyAlignment="1" applyProtection="1">
      <alignment horizontal="right"/>
      <protection locked="0"/>
    </xf>
    <xf numFmtId="3" fontId="4" fillId="0" borderId="29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35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right"/>
    </xf>
    <xf numFmtId="0" fontId="47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3" fontId="15" fillId="0" borderId="0" xfId="0" applyNumberFormat="1" applyFont="1" applyFill="1" applyAlignment="1">
      <alignment/>
    </xf>
    <xf numFmtId="3" fontId="4" fillId="0" borderId="23" xfId="0" applyNumberFormat="1" applyFont="1" applyFill="1" applyBorder="1" applyAlignment="1" applyProtection="1">
      <alignment horizontal="right"/>
      <protection locked="0"/>
    </xf>
    <xf numFmtId="3" fontId="4" fillId="0" borderId="14" xfId="41" applyNumberFormat="1" applyFont="1" applyFill="1" applyBorder="1" applyAlignment="1" applyProtection="1">
      <alignment horizontal="right"/>
      <protection locked="0"/>
    </xf>
    <xf numFmtId="0" fontId="91" fillId="8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0" fillId="0" borderId="28" xfId="70" applyFont="1" applyBorder="1" applyAlignment="1">
      <alignment vertical="center"/>
      <protection/>
    </xf>
    <xf numFmtId="0" fontId="20" fillId="0" borderId="28" xfId="70" applyFont="1" applyFill="1" applyBorder="1" applyAlignment="1">
      <alignment vertical="center"/>
      <protection/>
    </xf>
    <xf numFmtId="49" fontId="20" fillId="0" borderId="28" xfId="70" applyNumberFormat="1" applyFont="1" applyFill="1" applyBorder="1" applyAlignment="1">
      <alignment vertical="center"/>
      <protection/>
    </xf>
    <xf numFmtId="0" fontId="20" fillId="0" borderId="28" xfId="70" applyFont="1" applyFill="1" applyBorder="1" applyAlignment="1">
      <alignment vertical="center" wrapText="1"/>
      <protection/>
    </xf>
    <xf numFmtId="3" fontId="28" fillId="0" borderId="32" xfId="70" applyNumberFormat="1" applyFont="1" applyFill="1" applyBorder="1" applyAlignment="1">
      <alignment horizontal="center" vertical="center"/>
      <protection/>
    </xf>
    <xf numFmtId="0" fontId="28" fillId="0" borderId="28" xfId="70" applyFont="1" applyFill="1" applyBorder="1" applyAlignment="1">
      <alignment vertical="center"/>
      <protection/>
    </xf>
    <xf numFmtId="172" fontId="20" fillId="0" borderId="14" xfId="70" applyNumberFormat="1" applyFont="1" applyFill="1" applyBorder="1" applyAlignment="1" quotePrefix="1">
      <alignment horizontal="right"/>
      <protection/>
    </xf>
    <xf numFmtId="43" fontId="20" fillId="0" borderId="14" xfId="41" applyFont="1" applyFill="1" applyBorder="1" applyAlignment="1">
      <alignment horizontal="right"/>
    </xf>
    <xf numFmtId="172" fontId="20" fillId="0" borderId="14" xfId="70" applyNumberFormat="1" applyFont="1" applyFill="1" applyBorder="1" applyAlignment="1">
      <alignment horizontal="right"/>
      <protection/>
    </xf>
    <xf numFmtId="172" fontId="20" fillId="0" borderId="29" xfId="70" applyNumberFormat="1" applyFont="1" applyFill="1" applyBorder="1" applyAlignment="1">
      <alignment horizontal="right"/>
      <protection/>
    </xf>
    <xf numFmtId="43" fontId="20" fillId="0" borderId="29" xfId="41" applyFont="1" applyFill="1" applyBorder="1" applyAlignment="1">
      <alignment horizontal="right"/>
    </xf>
    <xf numFmtId="173" fontId="20" fillId="0" borderId="14" xfId="70" applyNumberFormat="1" applyFont="1" applyFill="1" applyBorder="1" applyAlignment="1">
      <alignment horizontal="right"/>
      <protection/>
    </xf>
    <xf numFmtId="173" fontId="20" fillId="0" borderId="29" xfId="70" applyNumberFormat="1" applyFont="1" applyFill="1" applyBorder="1" applyAlignment="1">
      <alignment horizontal="right"/>
      <protection/>
    </xf>
    <xf numFmtId="173" fontId="28" fillId="0" borderId="14" xfId="74" applyNumberFormat="1" applyFont="1" applyFill="1" applyBorder="1" applyAlignment="1">
      <alignment horizontal="right"/>
      <protection/>
    </xf>
    <xf numFmtId="173" fontId="28" fillId="0" borderId="29" xfId="74" applyNumberFormat="1" applyFont="1" applyFill="1" applyBorder="1" applyAlignment="1">
      <alignment horizontal="right"/>
      <protection/>
    </xf>
    <xf numFmtId="173" fontId="20" fillId="0" borderId="14" xfId="74" applyNumberFormat="1" applyFont="1" applyFill="1" applyBorder="1" applyAlignment="1">
      <alignment horizontal="right"/>
      <protection/>
    </xf>
    <xf numFmtId="172" fontId="28" fillId="0" borderId="23" xfId="70" applyNumberFormat="1" applyFont="1" applyFill="1" applyBorder="1" applyAlignment="1">
      <alignment horizontal="right"/>
      <protection/>
    </xf>
    <xf numFmtId="172" fontId="28" fillId="0" borderId="33" xfId="70" applyNumberFormat="1" applyFont="1" applyFill="1" applyBorder="1" applyAlignment="1">
      <alignment horizontal="right"/>
      <protection/>
    </xf>
    <xf numFmtId="172" fontId="28" fillId="34" borderId="14" xfId="70" applyNumberFormat="1" applyFont="1" applyFill="1" applyBorder="1" applyAlignment="1" quotePrefix="1">
      <alignment horizontal="right"/>
      <protection/>
    </xf>
    <xf numFmtId="43" fontId="28" fillId="34" borderId="14" xfId="41" applyFont="1" applyFill="1" applyBorder="1" applyAlignment="1" quotePrefix="1">
      <alignment horizontal="center" vertical="center"/>
    </xf>
    <xf numFmtId="43" fontId="28" fillId="34" borderId="14" xfId="41" applyFont="1" applyFill="1" applyBorder="1" applyAlignment="1" quotePrefix="1">
      <alignment horizontal="right"/>
    </xf>
    <xf numFmtId="172" fontId="28" fillId="34" borderId="29" xfId="70" applyNumberFormat="1" applyFont="1" applyFill="1" applyBorder="1" applyAlignment="1" quotePrefix="1">
      <alignment horizontal="right"/>
      <protection/>
    </xf>
    <xf numFmtId="3" fontId="20" fillId="34" borderId="14" xfId="70" applyNumberFormat="1" applyFont="1" applyFill="1" applyBorder="1" applyAlignment="1" quotePrefix="1">
      <alignment horizontal="right"/>
      <protection/>
    </xf>
    <xf numFmtId="3" fontId="20" fillId="34" borderId="29" xfId="70" applyNumberFormat="1" applyFont="1" applyFill="1" applyBorder="1" applyAlignment="1" quotePrefix="1">
      <alignment horizontal="right"/>
      <protection/>
    </xf>
    <xf numFmtId="0" fontId="28" fillId="34" borderId="28" xfId="70" applyFont="1" applyFill="1" applyBorder="1" applyAlignment="1">
      <alignment horizontal="left" vertical="center"/>
      <protection/>
    </xf>
    <xf numFmtId="0" fontId="28" fillId="34" borderId="28" xfId="70" applyFont="1" applyFill="1" applyBorder="1" applyAlignment="1">
      <alignment vertical="center"/>
      <protection/>
    </xf>
    <xf numFmtId="173" fontId="28" fillId="34" borderId="14" xfId="70" applyNumberFormat="1" applyFont="1" applyFill="1" applyBorder="1" applyAlignment="1">
      <alignment horizontal="right"/>
      <protection/>
    </xf>
    <xf numFmtId="43" fontId="28" fillId="34" borderId="14" xfId="41" applyFont="1" applyFill="1" applyBorder="1" applyAlignment="1">
      <alignment horizontal="center" vertical="center"/>
    </xf>
    <xf numFmtId="173" fontId="28" fillId="34" borderId="29" xfId="70" applyNumberFormat="1" applyFont="1" applyFill="1" applyBorder="1" applyAlignment="1">
      <alignment horizontal="right"/>
      <protection/>
    </xf>
    <xf numFmtId="43" fontId="28" fillId="34" borderId="14" xfId="41" applyFont="1" applyFill="1" applyBorder="1" applyAlignment="1">
      <alignment horizontal="right"/>
    </xf>
    <xf numFmtId="0" fontId="35" fillId="13" borderId="17" xfId="67" applyFont="1" applyFill="1" applyBorder="1" applyAlignment="1">
      <alignment horizontal="center"/>
      <protection/>
    </xf>
    <xf numFmtId="3" fontId="35" fillId="13" borderId="12" xfId="67" applyNumberFormat="1" applyFont="1" applyFill="1" applyBorder="1" applyAlignment="1">
      <alignment horizontal="right" wrapText="1"/>
      <protection/>
    </xf>
    <xf numFmtId="3" fontId="35" fillId="19" borderId="12" xfId="67" applyNumberFormat="1" applyFont="1" applyFill="1" applyBorder="1" applyAlignment="1">
      <alignment wrapText="1"/>
      <protection/>
    </xf>
    <xf numFmtId="3" fontId="28" fillId="34" borderId="12" xfId="67" applyNumberFormat="1" applyFont="1" applyFill="1" applyBorder="1" applyAlignment="1">
      <alignment horizontal="center" vertical="center"/>
      <protection/>
    </xf>
    <xf numFmtId="43" fontId="35" fillId="19" borderId="14" xfId="41" applyFont="1" applyFill="1" applyBorder="1" applyAlignment="1">
      <alignment horizontal="center" vertical="center" wrapText="1"/>
    </xf>
    <xf numFmtId="43" fontId="35" fillId="19" borderId="12" xfId="41" applyFont="1" applyFill="1" applyBorder="1" applyAlignment="1">
      <alignment wrapText="1"/>
    </xf>
    <xf numFmtId="3" fontId="34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3" fontId="4" fillId="0" borderId="14" xfId="4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195" fontId="5" fillId="0" borderId="0" xfId="41" applyNumberFormat="1" applyFont="1" applyFill="1" applyAlignment="1">
      <alignment/>
    </xf>
    <xf numFmtId="3" fontId="7" fillId="0" borderId="14" xfId="0" applyNumberFormat="1" applyFont="1" applyFill="1" applyBorder="1" applyAlignment="1">
      <alignment horizontal="left"/>
    </xf>
    <xf numFmtId="3" fontId="14" fillId="0" borderId="14" xfId="43" applyNumberFormat="1" applyFont="1" applyFill="1" applyBorder="1" applyAlignment="1" applyProtection="1">
      <alignment shrinkToFit="1"/>
      <protection/>
    </xf>
    <xf numFmtId="3" fontId="9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3" fontId="20" fillId="0" borderId="14" xfId="41" applyNumberFormat="1" applyFont="1" applyFill="1" applyBorder="1" applyAlignment="1">
      <alignment horizontal="right" wrapText="1"/>
    </xf>
    <xf numFmtId="43" fontId="20" fillId="0" borderId="14" xfId="41" applyFont="1" applyFill="1" applyBorder="1" applyAlignment="1">
      <alignment horizontal="center" wrapText="1"/>
    </xf>
    <xf numFmtId="3" fontId="20" fillId="0" borderId="22" xfId="67" applyNumberFormat="1" applyFont="1" applyFill="1" applyBorder="1" applyAlignment="1">
      <alignment horizontal="left" wrapText="1"/>
      <protection/>
    </xf>
    <xf numFmtId="3" fontId="20" fillId="0" borderId="22" xfId="41" applyNumberFormat="1" applyFont="1" applyFill="1" applyBorder="1" applyAlignment="1">
      <alignment horizontal="right" wrapText="1"/>
    </xf>
    <xf numFmtId="3" fontId="20" fillId="0" borderId="22" xfId="67" applyNumberFormat="1" applyFont="1" applyFill="1" applyBorder="1" applyAlignment="1">
      <alignment horizontal="right" wrapText="1"/>
      <protection/>
    </xf>
    <xf numFmtId="3" fontId="20" fillId="0" borderId="23" xfId="67" applyNumberFormat="1" applyFont="1" applyFill="1" applyBorder="1" applyAlignment="1">
      <alignment horizontal="right" wrapText="1"/>
      <protection/>
    </xf>
    <xf numFmtId="43" fontId="20" fillId="0" borderId="23" xfId="41" applyFont="1" applyFill="1" applyBorder="1" applyAlignment="1">
      <alignment horizontal="center" vertical="center" wrapText="1"/>
    </xf>
    <xf numFmtId="3" fontId="28" fillId="0" borderId="31" xfId="41" applyNumberFormat="1" applyFont="1" applyFill="1" applyBorder="1" applyAlignment="1">
      <alignment horizontal="right" wrapText="1"/>
    </xf>
    <xf numFmtId="3" fontId="20" fillId="0" borderId="28" xfId="67" applyNumberFormat="1" applyFont="1" applyFill="1" applyBorder="1" applyAlignment="1">
      <alignment horizontal="left" wrapText="1"/>
      <protection/>
    </xf>
    <xf numFmtId="3" fontId="28" fillId="0" borderId="29" xfId="41" applyNumberFormat="1" applyFont="1" applyFill="1" applyBorder="1" applyAlignment="1">
      <alignment horizontal="right" wrapText="1"/>
    </xf>
    <xf numFmtId="3" fontId="20" fillId="0" borderId="28" xfId="67" applyNumberFormat="1" applyFont="1" applyFill="1" applyBorder="1" applyAlignment="1" quotePrefix="1">
      <alignment horizontal="left" wrapText="1"/>
      <protection/>
    </xf>
    <xf numFmtId="3" fontId="28" fillId="0" borderId="28" xfId="67" applyNumberFormat="1" applyFont="1" applyFill="1" applyBorder="1" applyAlignment="1">
      <alignment horizontal="left" wrapText="1"/>
      <protection/>
    </xf>
    <xf numFmtId="3" fontId="28" fillId="0" borderId="32" xfId="67" applyNumberFormat="1" applyFont="1" applyFill="1" applyBorder="1" applyAlignment="1" quotePrefix="1">
      <alignment horizontal="left" wrapText="1"/>
      <protection/>
    </xf>
    <xf numFmtId="3" fontId="28" fillId="0" borderId="30" xfId="67" applyNumberFormat="1" applyFont="1" applyFill="1" applyBorder="1" applyAlignment="1" quotePrefix="1">
      <alignment horizontal="left" wrapText="1"/>
      <protection/>
    </xf>
    <xf numFmtId="3" fontId="20" fillId="0" borderId="14" xfId="67" applyNumberFormat="1" applyFont="1" applyFill="1" applyBorder="1" applyAlignment="1">
      <alignment horizontal="center" wrapText="1"/>
      <protection/>
    </xf>
    <xf numFmtId="3" fontId="20" fillId="0" borderId="23" xfId="67" applyNumberFormat="1" applyFont="1" applyFill="1" applyBorder="1" applyAlignment="1">
      <alignment horizontal="center" wrapText="1"/>
      <protection/>
    </xf>
    <xf numFmtId="0" fontId="4" fillId="33" borderId="17" xfId="0" applyFont="1" applyFill="1" applyBorder="1" applyAlignment="1">
      <alignment horizontal="center"/>
    </xf>
    <xf numFmtId="43" fontId="20" fillId="0" borderId="14" xfId="41" applyFont="1" applyFill="1" applyBorder="1" applyAlignment="1">
      <alignment horizontal="right" vertical="center"/>
    </xf>
    <xf numFmtId="43" fontId="28" fillId="0" borderId="14" xfId="41" applyFont="1" applyFill="1" applyBorder="1" applyAlignment="1">
      <alignment vertical="center"/>
    </xf>
    <xf numFmtId="198" fontId="20" fillId="0" borderId="14" xfId="41" applyNumberFormat="1" applyFont="1" applyFill="1" applyBorder="1" applyAlignment="1">
      <alignment horizontal="right"/>
    </xf>
    <xf numFmtId="198" fontId="28" fillId="34" borderId="14" xfId="41" applyNumberFormat="1" applyFont="1" applyFill="1" applyBorder="1" applyAlignment="1" quotePrefix="1">
      <alignment horizontal="right"/>
    </xf>
    <xf numFmtId="0" fontId="10" fillId="0" borderId="14" xfId="67" applyFont="1" applyFill="1" applyBorder="1" applyAlignment="1">
      <alignment/>
      <protection/>
    </xf>
    <xf numFmtId="0" fontId="20" fillId="0" borderId="14" xfId="67" applyFont="1" applyFill="1" applyBorder="1">
      <alignment/>
      <protection/>
    </xf>
    <xf numFmtId="0" fontId="10" fillId="0" borderId="14" xfId="67" applyFont="1" applyFill="1" applyBorder="1" applyAlignment="1">
      <alignment horizontal="left"/>
      <protection/>
    </xf>
    <xf numFmtId="0" fontId="19" fillId="0" borderId="14" xfId="67" applyFont="1" applyFill="1" applyBorder="1">
      <alignment/>
      <protection/>
    </xf>
    <xf numFmtId="0" fontId="10" fillId="0" borderId="14" xfId="67" applyFont="1" applyFill="1" applyBorder="1">
      <alignment/>
      <protection/>
    </xf>
    <xf numFmtId="0" fontId="20" fillId="0" borderId="14" xfId="67" applyFont="1" applyFill="1" applyBorder="1" applyAlignment="1">
      <alignment/>
      <protection/>
    </xf>
    <xf numFmtId="0" fontId="20" fillId="0" borderId="0" xfId="67" applyFont="1" applyFill="1" applyAlignment="1">
      <alignment horizontal="center"/>
      <protection/>
    </xf>
    <xf numFmtId="3" fontId="21" fillId="0" borderId="0" xfId="67" applyNumberFormat="1" applyFont="1" applyFill="1">
      <alignment/>
      <protection/>
    </xf>
    <xf numFmtId="0" fontId="20" fillId="0" borderId="0" xfId="67" applyFont="1" applyFill="1" applyAlignment="1">
      <alignment horizontal="left"/>
      <protection/>
    </xf>
    <xf numFmtId="171" fontId="34" fillId="0" borderId="0" xfId="46" applyNumberFormat="1" applyFont="1" applyFill="1" applyAlignment="1">
      <alignment horizontal="right"/>
    </xf>
    <xf numFmtId="171" fontId="19" fillId="0" borderId="0" xfId="46" applyNumberFormat="1" applyFont="1" applyFill="1" applyAlignment="1">
      <alignment/>
    </xf>
    <xf numFmtId="0" fontId="28" fillId="0" borderId="22" xfId="67" applyFont="1" applyFill="1" applyBorder="1" applyAlignment="1">
      <alignment horizontal="left" vertical="center" wrapText="1"/>
      <protection/>
    </xf>
    <xf numFmtId="0" fontId="4" fillId="0" borderId="14" xfId="67" applyFont="1" applyFill="1" applyBorder="1" applyAlignment="1">
      <alignment horizontal="left"/>
      <protection/>
    </xf>
    <xf numFmtId="0" fontId="28" fillId="0" borderId="14" xfId="67" applyFont="1" applyFill="1" applyBorder="1" applyAlignment="1">
      <alignment horizontal="left" vertical="center" wrapText="1"/>
      <protection/>
    </xf>
    <xf numFmtId="0" fontId="28" fillId="0" borderId="14" xfId="67" applyFont="1" applyFill="1" applyBorder="1" applyAlignment="1">
      <alignment horizontal="left"/>
      <protection/>
    </xf>
    <xf numFmtId="0" fontId="20" fillId="0" borderId="14" xfId="67" applyFont="1" applyFill="1" applyBorder="1" applyAlignment="1">
      <alignment horizontal="left" vertical="center"/>
      <protection/>
    </xf>
    <xf numFmtId="0" fontId="19" fillId="0" borderId="14" xfId="67" applyFont="1" applyFill="1" applyBorder="1" applyAlignment="1">
      <alignment horizontal="left"/>
      <protection/>
    </xf>
    <xf numFmtId="0" fontId="20" fillId="0" borderId="14" xfId="67" applyFont="1" applyFill="1" applyBorder="1" applyAlignment="1">
      <alignment horizontal="left" vertical="center" wrapText="1"/>
      <protection/>
    </xf>
    <xf numFmtId="0" fontId="20" fillId="0" borderId="30" xfId="67" applyFont="1" applyFill="1" applyBorder="1" applyAlignment="1">
      <alignment vertical="center" wrapText="1"/>
      <protection/>
    </xf>
    <xf numFmtId="0" fontId="20" fillId="0" borderId="28" xfId="67" applyFont="1" applyFill="1" applyBorder="1" applyAlignment="1">
      <alignment horizontal="center"/>
      <protection/>
    </xf>
    <xf numFmtId="0" fontId="20" fillId="0" borderId="28" xfId="67" applyFont="1" applyFill="1" applyBorder="1" applyAlignment="1">
      <alignment horizontal="center" wrapText="1"/>
      <protection/>
    </xf>
    <xf numFmtId="0" fontId="20" fillId="0" borderId="28" xfId="67" applyFont="1" applyFill="1" applyBorder="1" applyAlignment="1">
      <alignment horizontal="center" vertical="center" wrapText="1"/>
      <protection/>
    </xf>
    <xf numFmtId="0" fontId="20" fillId="0" borderId="28" xfId="67" applyFont="1" applyFill="1" applyBorder="1">
      <alignment/>
      <protection/>
    </xf>
    <xf numFmtId="0" fontId="28" fillId="0" borderId="14" xfId="67" applyFont="1" applyFill="1" applyBorder="1" applyAlignment="1">
      <alignment horizontal="left" vertical="center"/>
      <protection/>
    </xf>
    <xf numFmtId="0" fontId="4" fillId="0" borderId="32" xfId="67" applyFont="1" applyFill="1" applyBorder="1" applyAlignment="1">
      <alignment horizontal="center"/>
      <protection/>
    </xf>
    <xf numFmtId="0" fontId="4" fillId="0" borderId="23" xfId="67" applyFont="1" applyFill="1" applyBorder="1" applyAlignment="1">
      <alignment horizontal="center"/>
      <protection/>
    </xf>
    <xf numFmtId="3" fontId="4" fillId="0" borderId="29" xfId="46" applyNumberFormat="1" applyFont="1" applyFill="1" applyBorder="1" applyAlignment="1">
      <alignment horizontal="right"/>
    </xf>
    <xf numFmtId="3" fontId="12" fillId="0" borderId="29" xfId="46" applyNumberFormat="1" applyFont="1" applyFill="1" applyBorder="1" applyAlignment="1">
      <alignment horizontal="right"/>
    </xf>
    <xf numFmtId="3" fontId="4" fillId="0" borderId="33" xfId="46" applyNumberFormat="1" applyFont="1" applyFill="1" applyBorder="1" applyAlignment="1">
      <alignment horizontal="right"/>
    </xf>
    <xf numFmtId="3" fontId="4" fillId="0" borderId="29" xfId="67" applyNumberFormat="1" applyFont="1" applyFill="1" applyBorder="1" applyAlignment="1">
      <alignment horizontal="right"/>
      <protection/>
    </xf>
    <xf numFmtId="3" fontId="10" fillId="0" borderId="29" xfId="67" applyNumberFormat="1" applyFont="1" applyFill="1" applyBorder="1" applyAlignment="1">
      <alignment horizontal="right"/>
      <protection/>
    </xf>
    <xf numFmtId="3" fontId="19" fillId="0" borderId="29" xfId="67" applyNumberFormat="1" applyFont="1" applyFill="1" applyBorder="1" applyAlignment="1">
      <alignment horizontal="right"/>
      <protection/>
    </xf>
    <xf numFmtId="3" fontId="20" fillId="0" borderId="29" xfId="67" applyNumberFormat="1" applyFont="1" applyFill="1" applyBorder="1" applyAlignment="1">
      <alignment horizontal="right"/>
      <protection/>
    </xf>
    <xf numFmtId="3" fontId="28" fillId="0" borderId="13" xfId="67" applyNumberFormat="1" applyFont="1" applyFill="1" applyBorder="1" applyAlignment="1">
      <alignment horizontal="right"/>
      <protection/>
    </xf>
    <xf numFmtId="3" fontId="20" fillId="0" borderId="31" xfId="67" applyNumberFormat="1" applyFont="1" applyFill="1" applyBorder="1" applyAlignment="1">
      <alignment horizontal="right" wrapText="1"/>
      <protection/>
    </xf>
    <xf numFmtId="3" fontId="28" fillId="0" borderId="29" xfId="67" applyNumberFormat="1" applyFont="1" applyFill="1" applyBorder="1" applyAlignment="1">
      <alignment horizontal="right" wrapText="1"/>
      <protection/>
    </xf>
    <xf numFmtId="43" fontId="14" fillId="0" borderId="14" xfId="41" applyFont="1" applyFill="1" applyBorder="1" applyAlignment="1" applyProtection="1">
      <alignment shrinkToFit="1"/>
      <protection/>
    </xf>
    <xf numFmtId="0" fontId="34" fillId="33" borderId="0" xfId="0" applyFont="1" applyFill="1" applyBorder="1" applyAlignment="1">
      <alignment/>
    </xf>
    <xf numFmtId="0" fontId="46" fillId="33" borderId="0" xfId="0" applyFont="1" applyFill="1" applyBorder="1" applyAlignment="1">
      <alignment wrapText="1"/>
    </xf>
    <xf numFmtId="3" fontId="34" fillId="33" borderId="0" xfId="0" applyNumberFormat="1" applyFont="1" applyFill="1" applyBorder="1" applyAlignment="1">
      <alignment horizontal="right"/>
    </xf>
    <xf numFmtId="3" fontId="34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wrapText="1"/>
    </xf>
    <xf numFmtId="0" fontId="8" fillId="0" borderId="3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35" fillId="0" borderId="14" xfId="0" applyNumberFormat="1" applyFont="1" applyFill="1" applyBorder="1" applyAlignment="1">
      <alignment horizontal="right"/>
    </xf>
    <xf numFmtId="0" fontId="35" fillId="33" borderId="0" xfId="0" applyFont="1" applyFill="1" applyAlignment="1">
      <alignment/>
    </xf>
    <xf numFmtId="0" fontId="35" fillId="33" borderId="0" xfId="0" applyFont="1" applyFill="1" applyBorder="1" applyAlignment="1">
      <alignment/>
    </xf>
    <xf numFmtId="0" fontId="8" fillId="0" borderId="3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right" vertical="center"/>
    </xf>
    <xf numFmtId="0" fontId="34" fillId="33" borderId="0" xfId="0" applyFont="1" applyFill="1" applyAlignment="1">
      <alignment/>
    </xf>
    <xf numFmtId="171" fontId="34" fillId="33" borderId="0" xfId="41" applyNumberFormat="1" applyFont="1" applyFill="1" applyBorder="1" applyAlignment="1">
      <alignment/>
    </xf>
    <xf numFmtId="171" fontId="34" fillId="33" borderId="0" xfId="41" applyNumberFormat="1" applyFont="1" applyFill="1" applyAlignment="1">
      <alignment/>
    </xf>
    <xf numFmtId="0" fontId="48" fillId="0" borderId="37" xfId="0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right"/>
    </xf>
    <xf numFmtId="171" fontId="34" fillId="33" borderId="0" xfId="0" applyNumberFormat="1" applyFont="1" applyFill="1" applyAlignment="1">
      <alignment/>
    </xf>
    <xf numFmtId="16" fontId="6" fillId="0" borderId="37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34" fillId="0" borderId="14" xfId="0" applyFont="1" applyFill="1" applyBorder="1" applyAlignment="1" applyProtection="1">
      <alignment horizontal="left" wrapText="1"/>
      <protection locked="0"/>
    </xf>
    <xf numFmtId="3" fontId="34" fillId="0" borderId="0" xfId="0" applyNumberFormat="1" applyFont="1" applyFill="1" applyBorder="1" applyAlignment="1">
      <alignment horizontal="right" vertical="center"/>
    </xf>
    <xf numFmtId="188" fontId="34" fillId="33" borderId="0" xfId="0" applyNumberFormat="1" applyFont="1" applyFill="1" applyAlignment="1">
      <alignment/>
    </xf>
    <xf numFmtId="0" fontId="49" fillId="0" borderId="14" xfId="0" applyFont="1" applyFill="1" applyBorder="1" applyAlignment="1">
      <alignment wrapText="1"/>
    </xf>
    <xf numFmtId="171" fontId="34" fillId="33" borderId="0" xfId="0" applyNumberFormat="1" applyFont="1" applyFill="1" applyBorder="1" applyAlignment="1">
      <alignment/>
    </xf>
    <xf numFmtId="0" fontId="92" fillId="0" borderId="14" xfId="0" applyFont="1" applyFill="1" applyBorder="1" applyAlignment="1" applyProtection="1">
      <alignment horizontal="left" wrapText="1"/>
      <protection locked="0"/>
    </xf>
    <xf numFmtId="3" fontId="34" fillId="0" borderId="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wrapText="1"/>
    </xf>
    <xf numFmtId="3" fontId="34" fillId="33" borderId="0" xfId="0" applyNumberFormat="1" applyFont="1" applyFill="1" applyAlignment="1">
      <alignment/>
    </xf>
    <xf numFmtId="0" fontId="27" fillId="0" borderId="14" xfId="0" applyFont="1" applyFill="1" applyBorder="1" applyAlignment="1">
      <alignment wrapText="1"/>
    </xf>
    <xf numFmtId="195" fontId="92" fillId="0" borderId="14" xfId="41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0" fontId="8" fillId="13" borderId="38" xfId="0" applyFont="1" applyFill="1" applyBorder="1" applyAlignment="1">
      <alignment horizontal="center"/>
    </xf>
    <xf numFmtId="3" fontId="35" fillId="13" borderId="13" xfId="0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center"/>
    </xf>
    <xf numFmtId="3" fontId="34" fillId="0" borderId="15" xfId="0" applyNumberFormat="1" applyFont="1" applyFill="1" applyBorder="1" applyAlignment="1">
      <alignment horizontal="right"/>
    </xf>
    <xf numFmtId="0" fontId="48" fillId="0" borderId="39" xfId="0" applyFont="1" applyFill="1" applyBorder="1" applyAlignment="1">
      <alignment horizontal="center"/>
    </xf>
    <xf numFmtId="3" fontId="34" fillId="0" borderId="16" xfId="0" applyNumberFormat="1" applyFont="1" applyFill="1" applyBorder="1" applyAlignment="1">
      <alignment horizontal="right"/>
    </xf>
    <xf numFmtId="0" fontId="4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3" fontId="34" fillId="0" borderId="23" xfId="0" applyNumberFormat="1" applyFont="1" applyFill="1" applyBorder="1" applyAlignment="1">
      <alignment horizontal="right"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 wrapText="1"/>
    </xf>
    <xf numFmtId="0" fontId="48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8" fillId="13" borderId="4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0" fillId="0" borderId="14" xfId="41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4" fillId="0" borderId="29" xfId="41" applyNumberFormat="1" applyFont="1" applyFill="1" applyBorder="1" applyAlignment="1" applyProtection="1">
      <alignment horizontal="right"/>
      <protection locked="0"/>
    </xf>
    <xf numFmtId="0" fontId="25" fillId="0" borderId="16" xfId="0" applyFont="1" applyFill="1" applyBorder="1" applyAlignment="1" applyProtection="1">
      <alignment/>
      <protection/>
    </xf>
    <xf numFmtId="3" fontId="3" fillId="0" borderId="0" xfId="79" applyNumberFormat="1" applyFont="1" applyFill="1" applyAlignment="1">
      <alignment horizontal="left"/>
      <protection/>
    </xf>
    <xf numFmtId="0" fontId="35" fillId="0" borderId="41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18" xfId="69" applyFont="1" applyFill="1" applyBorder="1">
      <alignment/>
      <protection/>
    </xf>
    <xf numFmtId="3" fontId="35" fillId="0" borderId="43" xfId="0" applyNumberFormat="1" applyFont="1" applyFill="1" applyBorder="1" applyAlignment="1">
      <alignment/>
    </xf>
    <xf numFmtId="3" fontId="35" fillId="0" borderId="44" xfId="0" applyNumberFormat="1" applyFont="1" applyFill="1" applyBorder="1" applyAlignment="1">
      <alignment/>
    </xf>
    <xf numFmtId="3" fontId="35" fillId="0" borderId="14" xfId="0" applyNumberFormat="1" applyFont="1" applyFill="1" applyBorder="1" applyAlignment="1">
      <alignment/>
    </xf>
    <xf numFmtId="197" fontId="93" fillId="0" borderId="14" xfId="41" applyNumberFormat="1" applyFont="1" applyFill="1" applyBorder="1" applyAlignment="1" applyProtection="1">
      <alignment/>
      <protection locked="0"/>
    </xf>
    <xf numFmtId="172" fontId="35" fillId="0" borderId="14" xfId="0" applyNumberFormat="1" applyFont="1" applyFill="1" applyBorder="1" applyAlignment="1">
      <alignment/>
    </xf>
    <xf numFmtId="172" fontId="35" fillId="0" borderId="45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1" fontId="34" fillId="0" borderId="41" xfId="0" applyNumberFormat="1" applyFont="1" applyFill="1" applyBorder="1" applyAlignment="1">
      <alignment horizontal="center"/>
    </xf>
    <xf numFmtId="0" fontId="34" fillId="0" borderId="42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18" xfId="69" applyFont="1" applyFill="1" applyBorder="1">
      <alignment/>
      <protection/>
    </xf>
    <xf numFmtId="3" fontId="34" fillId="0" borderId="43" xfId="0" applyNumberFormat="1" applyFont="1" applyFill="1" applyBorder="1" applyAlignment="1">
      <alignment/>
    </xf>
    <xf numFmtId="3" fontId="34" fillId="0" borderId="44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3" fontId="34" fillId="0" borderId="14" xfId="0" applyNumberFormat="1" applyFont="1" applyFill="1" applyBorder="1" applyAlignment="1">
      <alignment/>
    </xf>
    <xf numFmtId="172" fontId="34" fillId="0" borderId="14" xfId="0" applyNumberFormat="1" applyFont="1" applyFill="1" applyBorder="1" applyAlignment="1">
      <alignment/>
    </xf>
    <xf numFmtId="172" fontId="34" fillId="0" borderId="45" xfId="0" applyNumberFormat="1" applyFont="1" applyFill="1" applyBorder="1" applyAlignment="1">
      <alignment/>
    </xf>
    <xf numFmtId="3" fontId="34" fillId="0" borderId="44" xfId="0" applyNumberFormat="1" applyFont="1" applyFill="1" applyBorder="1" applyAlignment="1">
      <alignment horizontal="right"/>
    </xf>
    <xf numFmtId="0" fontId="34" fillId="0" borderId="41" xfId="0" applyFont="1" applyFill="1" applyBorder="1" applyAlignment="1">
      <alignment horizontal="center"/>
    </xf>
    <xf numFmtId="3" fontId="34" fillId="0" borderId="44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5" fillId="0" borderId="46" xfId="0" applyFont="1" applyFill="1" applyBorder="1" applyAlignment="1">
      <alignment wrapText="1"/>
    </xf>
    <xf numFmtId="0" fontId="35" fillId="0" borderId="0" xfId="0" applyFont="1" applyAlignment="1">
      <alignment horizontal="center"/>
    </xf>
    <xf numFmtId="0" fontId="34" fillId="0" borderId="14" xfId="69" applyFont="1" applyFill="1" applyBorder="1" applyAlignment="1">
      <alignment/>
      <protection/>
    </xf>
    <xf numFmtId="0" fontId="35" fillId="0" borderId="0" xfId="0" applyFont="1" applyFill="1" applyAlignment="1">
      <alignment horizontal="center"/>
    </xf>
    <xf numFmtId="3" fontId="35" fillId="0" borderId="44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43" fontId="35" fillId="0" borderId="14" xfId="41" applyFont="1" applyFill="1" applyBorder="1" applyAlignment="1">
      <alignment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48" xfId="0" applyFont="1" applyBorder="1" applyAlignment="1">
      <alignment/>
    </xf>
    <xf numFmtId="3" fontId="35" fillId="0" borderId="49" xfId="0" applyNumberFormat="1" applyFont="1" applyFill="1" applyBorder="1" applyAlignment="1">
      <alignment/>
    </xf>
    <xf numFmtId="172" fontId="35" fillId="0" borderId="49" xfId="0" applyNumberFormat="1" applyFont="1" applyFill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3" fontId="16" fillId="0" borderId="53" xfId="0" applyNumberFormat="1" applyFont="1" applyBorder="1" applyAlignment="1">
      <alignment horizontal="center"/>
    </xf>
    <xf numFmtId="3" fontId="16" fillId="0" borderId="54" xfId="0" applyNumberFormat="1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3" fontId="16" fillId="0" borderId="57" xfId="0" applyNumberFormat="1" applyFont="1" applyBorder="1" applyAlignment="1">
      <alignment horizontal="center"/>
    </xf>
    <xf numFmtId="3" fontId="16" fillId="0" borderId="59" xfId="0" applyNumberFormat="1" applyFont="1" applyBorder="1" applyAlignment="1">
      <alignment horizontal="center"/>
    </xf>
    <xf numFmtId="0" fontId="16" fillId="0" borderId="57" xfId="0" applyFont="1" applyBorder="1" applyAlignment="1">
      <alignment horizontal="center" wrapText="1"/>
    </xf>
    <xf numFmtId="0" fontId="16" fillId="0" borderId="60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3" fontId="16" fillId="0" borderId="62" xfId="0" applyNumberFormat="1" applyFont="1" applyBorder="1" applyAlignment="1">
      <alignment horizontal="center"/>
    </xf>
    <xf numFmtId="49" fontId="10" fillId="0" borderId="64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left"/>
      <protection/>
    </xf>
    <xf numFmtId="3" fontId="4" fillId="0" borderId="16" xfId="41" applyNumberFormat="1" applyFont="1" applyFill="1" applyBorder="1" applyAlignment="1" applyProtection="1">
      <alignment horizontal="right"/>
      <protection locked="0"/>
    </xf>
    <xf numFmtId="3" fontId="4" fillId="0" borderId="65" xfId="41" applyNumberFormat="1" applyFont="1" applyFill="1" applyBorder="1" applyAlignment="1" applyProtection="1">
      <alignment horizontal="right"/>
      <protection locked="0"/>
    </xf>
    <xf numFmtId="3" fontId="4" fillId="0" borderId="12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49" fontId="10" fillId="33" borderId="30" xfId="0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/>
    </xf>
    <xf numFmtId="49" fontId="10" fillId="33" borderId="28" xfId="0" applyNumberFormat="1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28" fillId="0" borderId="29" xfId="67" applyNumberFormat="1" applyFont="1" applyFill="1" applyBorder="1" applyAlignment="1">
      <alignment horizontal="right"/>
      <protection/>
    </xf>
    <xf numFmtId="0" fontId="20" fillId="0" borderId="66" xfId="67" applyFont="1" applyBorder="1">
      <alignment/>
      <protection/>
    </xf>
    <xf numFmtId="0" fontId="50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/>
    </xf>
    <xf numFmtId="3" fontId="14" fillId="0" borderId="12" xfId="43" applyNumberFormat="1" applyFont="1" applyFill="1" applyBorder="1" applyAlignment="1" applyProtection="1">
      <alignment shrinkToFit="1"/>
      <protection/>
    </xf>
    <xf numFmtId="3" fontId="14" fillId="0" borderId="13" xfId="43" applyNumberFormat="1" applyFont="1" applyFill="1" applyBorder="1" applyAlignment="1" applyProtection="1">
      <alignment shrinkToFit="1"/>
      <protection/>
    </xf>
    <xf numFmtId="0" fontId="2" fillId="0" borderId="3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3" fontId="2" fillId="0" borderId="29" xfId="43" applyNumberFormat="1" applyFont="1" applyFill="1" applyBorder="1" applyAlignment="1" applyProtection="1">
      <alignment shrinkToFit="1"/>
      <protection/>
    </xf>
    <xf numFmtId="49" fontId="5" fillId="0" borderId="28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7" fontId="2" fillId="0" borderId="29" xfId="43" applyNumberFormat="1" applyFont="1" applyFill="1" applyBorder="1" applyAlignment="1" applyProtection="1">
      <alignment shrinkToFit="1"/>
      <protection/>
    </xf>
    <xf numFmtId="0" fontId="7" fillId="0" borderId="3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3" fontId="14" fillId="0" borderId="23" xfId="43" applyNumberFormat="1" applyFont="1" applyFill="1" applyBorder="1" applyAlignment="1" applyProtection="1">
      <alignment/>
      <protection/>
    </xf>
    <xf numFmtId="43" fontId="14" fillId="0" borderId="23" xfId="41" applyFont="1" applyFill="1" applyBorder="1" applyAlignment="1" applyProtection="1">
      <alignment/>
      <protection/>
    </xf>
    <xf numFmtId="3" fontId="14" fillId="0" borderId="33" xfId="43" applyNumberFormat="1" applyFont="1" applyFill="1" applyBorder="1" applyAlignment="1" applyProtection="1">
      <alignment/>
      <protection/>
    </xf>
    <xf numFmtId="0" fontId="16" fillId="0" borderId="13" xfId="0" applyFont="1" applyFill="1" applyBorder="1" applyAlignment="1">
      <alignment horizontal="center" vertical="center" wrapText="1"/>
    </xf>
    <xf numFmtId="3" fontId="2" fillId="0" borderId="29" xfId="43" applyNumberFormat="1" applyFont="1" applyFill="1" applyBorder="1" applyAlignment="1" applyProtection="1">
      <alignment/>
      <protection/>
    </xf>
    <xf numFmtId="3" fontId="14" fillId="0" borderId="29" xfId="43" applyNumberFormat="1" applyFont="1" applyFill="1" applyBorder="1" applyAlignment="1" applyProtection="1">
      <alignment shrinkToFit="1"/>
      <protection/>
    </xf>
    <xf numFmtId="0" fontId="3" fillId="0" borderId="14" xfId="0" applyFont="1" applyFill="1" applyBorder="1" applyAlignment="1">
      <alignment/>
    </xf>
    <xf numFmtId="0" fontId="39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6" fillId="0" borderId="22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43" fontId="8" fillId="0" borderId="29" xfId="4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43" fontId="8" fillId="0" borderId="16" xfId="41" applyFont="1" applyFill="1" applyBorder="1" applyAlignment="1">
      <alignment/>
    </xf>
    <xf numFmtId="43" fontId="8" fillId="0" borderId="65" xfId="4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49" fontId="6" fillId="33" borderId="30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49" fontId="6" fillId="33" borderId="28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wrapText="1"/>
    </xf>
    <xf numFmtId="49" fontId="8" fillId="33" borderId="28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wrapText="1"/>
    </xf>
    <xf numFmtId="0" fontId="6" fillId="33" borderId="28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1" fontId="8" fillId="33" borderId="28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/>
    </xf>
    <xf numFmtId="1" fontId="8" fillId="33" borderId="64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8" fillId="0" borderId="30" xfId="67" applyFont="1" applyBorder="1" applyAlignment="1">
      <alignment horizontal="center"/>
      <protection/>
    </xf>
    <xf numFmtId="3" fontId="28" fillId="0" borderId="31" xfId="67" applyNumberFormat="1" applyFont="1" applyBorder="1" applyAlignment="1">
      <alignment horizontal="right"/>
      <protection/>
    </xf>
    <xf numFmtId="0" fontId="20" fillId="0" borderId="28" xfId="67" applyFont="1" applyBorder="1" applyAlignment="1">
      <alignment horizontal="center"/>
      <protection/>
    </xf>
    <xf numFmtId="3" fontId="20" fillId="0" borderId="29" xfId="67" applyNumberFormat="1" applyFont="1" applyBorder="1" applyAlignment="1">
      <alignment horizontal="right"/>
      <protection/>
    </xf>
    <xf numFmtId="0" fontId="20" fillId="0" borderId="64" xfId="67" applyFont="1" applyBorder="1" applyAlignment="1">
      <alignment horizontal="center"/>
      <protection/>
    </xf>
    <xf numFmtId="0" fontId="38" fillId="0" borderId="64" xfId="67" applyFont="1" applyBorder="1" applyAlignment="1">
      <alignment horizontal="center"/>
      <protection/>
    </xf>
    <xf numFmtId="3" fontId="28" fillId="0" borderId="29" xfId="67" applyNumberFormat="1" applyFont="1" applyBorder="1" applyAlignment="1">
      <alignment horizontal="right"/>
      <protection/>
    </xf>
    <xf numFmtId="3" fontId="20" fillId="0" borderId="65" xfId="67" applyNumberFormat="1" applyFont="1" applyBorder="1" applyAlignment="1">
      <alignment horizontal="right"/>
      <protection/>
    </xf>
    <xf numFmtId="0" fontId="20" fillId="0" borderId="32" xfId="67" applyFont="1" applyBorder="1" applyAlignment="1">
      <alignment horizontal="center"/>
      <protection/>
    </xf>
    <xf numFmtId="3" fontId="20" fillId="0" borderId="33" xfId="67" applyNumberFormat="1" applyFont="1" applyFill="1" applyBorder="1" applyAlignment="1">
      <alignment horizontal="right"/>
      <protection/>
    </xf>
    <xf numFmtId="0" fontId="20" fillId="0" borderId="12" xfId="67" applyFont="1" applyBorder="1">
      <alignment/>
      <protection/>
    </xf>
    <xf numFmtId="3" fontId="28" fillId="0" borderId="13" xfId="67" applyNumberFormat="1" applyFont="1" applyBorder="1">
      <alignment/>
      <protection/>
    </xf>
    <xf numFmtId="3" fontId="19" fillId="0" borderId="0" xfId="67" applyNumberFormat="1" applyFont="1" applyFill="1">
      <alignment/>
      <protection/>
    </xf>
    <xf numFmtId="0" fontId="16" fillId="0" borderId="67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15" fillId="0" borderId="70" xfId="0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0" borderId="71" xfId="0" applyNumberFormat="1" applyFont="1" applyFill="1" applyBorder="1" applyAlignment="1">
      <alignment/>
    </xf>
    <xf numFmtId="3" fontId="15" fillId="0" borderId="72" xfId="0" applyNumberFormat="1" applyFont="1" applyFill="1" applyBorder="1" applyAlignment="1">
      <alignment/>
    </xf>
    <xf numFmtId="3" fontId="15" fillId="0" borderId="73" xfId="0" applyNumberFormat="1" applyFont="1" applyFill="1" applyBorder="1" applyAlignment="1">
      <alignment/>
    </xf>
    <xf numFmtId="3" fontId="15" fillId="0" borderId="74" xfId="0" applyNumberFormat="1" applyFont="1" applyFill="1" applyBorder="1" applyAlignment="1" applyProtection="1">
      <alignment/>
      <protection locked="0"/>
    </xf>
    <xf numFmtId="3" fontId="15" fillId="0" borderId="74" xfId="0" applyNumberFormat="1" applyFont="1" applyFill="1" applyBorder="1" applyAlignment="1">
      <alignment/>
    </xf>
    <xf numFmtId="0" fontId="16" fillId="0" borderId="67" xfId="0" applyFont="1" applyFill="1" applyBorder="1" applyAlignment="1">
      <alignment/>
    </xf>
    <xf numFmtId="3" fontId="16" fillId="0" borderId="68" xfId="0" applyNumberFormat="1" applyFont="1" applyFill="1" applyBorder="1" applyAlignment="1">
      <alignment/>
    </xf>
    <xf numFmtId="3" fontId="16" fillId="0" borderId="69" xfId="0" applyNumberFormat="1" applyFont="1" applyFill="1" applyBorder="1" applyAlignment="1">
      <alignment/>
    </xf>
    <xf numFmtId="3" fontId="15" fillId="0" borderId="70" xfId="0" applyNumberFormat="1" applyFont="1" applyFill="1" applyBorder="1" applyAlignment="1">
      <alignment/>
    </xf>
    <xf numFmtId="3" fontId="15" fillId="0" borderId="75" xfId="0" applyNumberFormat="1" applyFont="1" applyFill="1" applyBorder="1" applyAlignment="1">
      <alignment/>
    </xf>
    <xf numFmtId="3" fontId="15" fillId="0" borderId="76" xfId="0" applyNumberFormat="1" applyFont="1" applyFill="1" applyBorder="1" applyAlignment="1">
      <alignment/>
    </xf>
    <xf numFmtId="0" fontId="16" fillId="0" borderId="77" xfId="0" applyFont="1" applyFill="1" applyBorder="1" applyAlignment="1">
      <alignment/>
    </xf>
    <xf numFmtId="0" fontId="15" fillId="0" borderId="78" xfId="0" applyFont="1" applyFill="1" applyBorder="1" applyAlignment="1">
      <alignment/>
    </xf>
    <xf numFmtId="0" fontId="15" fillId="0" borderId="79" xfId="0" applyFont="1" applyFill="1" applyBorder="1" applyAlignment="1">
      <alignment/>
    </xf>
    <xf numFmtId="3" fontId="16" fillId="0" borderId="80" xfId="0" applyNumberFormat="1" applyFont="1" applyFill="1" applyBorder="1" applyAlignment="1">
      <alignment/>
    </xf>
    <xf numFmtId="0" fontId="15" fillId="0" borderId="81" xfId="0" applyFont="1" applyFill="1" applyBorder="1" applyAlignment="1">
      <alignment/>
    </xf>
    <xf numFmtId="0" fontId="15" fillId="0" borderId="82" xfId="0" applyFont="1" applyFill="1" applyBorder="1" applyAlignment="1" applyProtection="1">
      <alignment/>
      <protection locked="0"/>
    </xf>
    <xf numFmtId="3" fontId="16" fillId="0" borderId="83" xfId="0" applyNumberFormat="1" applyFont="1" applyFill="1" applyBorder="1" applyAlignment="1">
      <alignment/>
    </xf>
    <xf numFmtId="0" fontId="15" fillId="0" borderId="84" xfId="0" applyFont="1" applyFill="1" applyBorder="1" applyAlignment="1">
      <alignment/>
    </xf>
    <xf numFmtId="3" fontId="15" fillId="0" borderId="85" xfId="0" applyNumberFormat="1" applyFont="1" applyFill="1" applyBorder="1" applyAlignment="1">
      <alignment/>
    </xf>
    <xf numFmtId="0" fontId="16" fillId="0" borderId="81" xfId="0" applyFont="1" applyFill="1" applyBorder="1" applyAlignment="1">
      <alignment/>
    </xf>
    <xf numFmtId="3" fontId="15" fillId="0" borderId="86" xfId="0" applyNumberFormat="1" applyFont="1" applyFill="1" applyBorder="1" applyAlignment="1">
      <alignment/>
    </xf>
    <xf numFmtId="3" fontId="16" fillId="0" borderId="86" xfId="0" applyNumberFormat="1" applyFont="1" applyFill="1" applyBorder="1" applyAlignment="1">
      <alignment/>
    </xf>
    <xf numFmtId="0" fontId="15" fillId="0" borderId="87" xfId="0" applyFont="1" applyFill="1" applyBorder="1" applyAlignment="1">
      <alignment/>
    </xf>
    <xf numFmtId="0" fontId="15" fillId="0" borderId="88" xfId="0" applyFont="1" applyFill="1" applyBorder="1" applyAlignment="1">
      <alignment/>
    </xf>
    <xf numFmtId="3" fontId="16" fillId="0" borderId="89" xfId="0" applyNumberFormat="1" applyFont="1" applyFill="1" applyBorder="1" applyAlignment="1">
      <alignment/>
    </xf>
    <xf numFmtId="0" fontId="16" fillId="0" borderId="90" xfId="0" applyFont="1" applyFill="1" applyBorder="1" applyAlignment="1">
      <alignment/>
    </xf>
    <xf numFmtId="3" fontId="16" fillId="0" borderId="91" xfId="0" applyNumberFormat="1" applyFont="1" applyFill="1" applyBorder="1" applyAlignment="1">
      <alignment/>
    </xf>
    <xf numFmtId="3" fontId="16" fillId="0" borderId="92" xfId="0" applyNumberFormat="1" applyFont="1" applyFill="1" applyBorder="1" applyAlignment="1">
      <alignment/>
    </xf>
    <xf numFmtId="3" fontId="28" fillId="0" borderId="17" xfId="67" applyNumberFormat="1" applyFont="1" applyFill="1" applyBorder="1" applyAlignment="1">
      <alignment horizontal="left" wrapText="1"/>
      <protection/>
    </xf>
    <xf numFmtId="49" fontId="10" fillId="33" borderId="30" xfId="0" applyNumberFormat="1" applyFont="1" applyFill="1" applyBorder="1" applyAlignment="1" applyProtection="1">
      <alignment horizontal="left"/>
      <protection/>
    </xf>
    <xf numFmtId="3" fontId="10" fillId="0" borderId="31" xfId="0" applyNumberFormat="1" applyFont="1" applyFill="1" applyBorder="1" applyAlignment="1" applyProtection="1">
      <alignment horizontal="right"/>
      <protection/>
    </xf>
    <xf numFmtId="49" fontId="10" fillId="33" borderId="28" xfId="0" applyNumberFormat="1" applyFont="1" applyFill="1" applyBorder="1" applyAlignment="1" applyProtection="1">
      <alignment horizontal="left"/>
      <protection/>
    </xf>
    <xf numFmtId="43" fontId="10" fillId="0" borderId="29" xfId="41" applyFont="1" applyFill="1" applyBorder="1" applyAlignment="1" applyProtection="1">
      <alignment horizontal="right"/>
      <protection locked="0"/>
    </xf>
    <xf numFmtId="0" fontId="10" fillId="33" borderId="28" xfId="0" applyFont="1" applyFill="1" applyBorder="1" applyAlignment="1" applyProtection="1">
      <alignment horizontal="left"/>
      <protection/>
    </xf>
    <xf numFmtId="3" fontId="10" fillId="0" borderId="29" xfId="0" applyNumberFormat="1" applyFont="1" applyFill="1" applyBorder="1" applyAlignment="1" applyProtection="1">
      <alignment horizontal="right"/>
      <protection/>
    </xf>
    <xf numFmtId="49" fontId="10" fillId="33" borderId="64" xfId="0" applyNumberFormat="1" applyFont="1" applyFill="1" applyBorder="1" applyAlignment="1" applyProtection="1">
      <alignment horizontal="left"/>
      <protection/>
    </xf>
    <xf numFmtId="43" fontId="10" fillId="0" borderId="65" xfId="41" applyFont="1" applyFill="1" applyBorder="1" applyAlignment="1" applyProtection="1">
      <alignment horizontal="right"/>
      <protection locked="0"/>
    </xf>
    <xf numFmtId="0" fontId="4" fillId="33" borderId="28" xfId="0" applyFont="1" applyFill="1" applyBorder="1" applyAlignment="1" applyProtection="1">
      <alignment horizontal="left"/>
      <protection/>
    </xf>
    <xf numFmtId="3" fontId="4" fillId="0" borderId="29" xfId="0" applyNumberFormat="1" applyFont="1" applyFill="1" applyBorder="1" applyAlignment="1" applyProtection="1">
      <alignment horizontal="right"/>
      <protection locked="0"/>
    </xf>
    <xf numFmtId="49" fontId="10" fillId="33" borderId="32" xfId="0" applyNumberFormat="1" applyFont="1" applyFill="1" applyBorder="1" applyAlignment="1" applyProtection="1">
      <alignment horizontal="left"/>
      <protection/>
    </xf>
    <xf numFmtId="3" fontId="10" fillId="0" borderId="33" xfId="0" applyNumberFormat="1" applyFont="1" applyFill="1" applyBorder="1" applyAlignment="1" applyProtection="1">
      <alignment horizontal="right"/>
      <protection/>
    </xf>
    <xf numFmtId="0" fontId="10" fillId="33" borderId="28" xfId="0" applyFont="1" applyFill="1" applyBorder="1" applyAlignment="1">
      <alignment horizontal="center" vertical="center"/>
    </xf>
    <xf numFmtId="49" fontId="10" fillId="33" borderId="28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43" fontId="10" fillId="0" borderId="33" xfId="41" applyFont="1" applyFill="1" applyBorder="1" applyAlignment="1">
      <alignment vertical="center"/>
    </xf>
    <xf numFmtId="172" fontId="35" fillId="0" borderId="93" xfId="0" applyNumberFormat="1" applyFont="1" applyFill="1" applyBorder="1" applyAlignment="1">
      <alignment/>
    </xf>
    <xf numFmtId="0" fontId="25" fillId="33" borderId="0" xfId="79" applyFont="1" applyFill="1" applyBorder="1" applyAlignment="1">
      <alignment horizontal="center"/>
      <protection/>
    </xf>
    <xf numFmtId="0" fontId="33" fillId="33" borderId="0" xfId="79" applyFont="1" applyFill="1" applyBorder="1" applyAlignment="1">
      <alignment horizontal="center"/>
      <protection/>
    </xf>
    <xf numFmtId="3" fontId="25" fillId="0" borderId="38" xfId="0" applyNumberFormat="1" applyFont="1" applyFill="1" applyBorder="1" applyAlignment="1">
      <alignment horizontal="center"/>
    </xf>
    <xf numFmtId="3" fontId="25" fillId="0" borderId="25" xfId="0" applyNumberFormat="1" applyFont="1" applyFill="1" applyBorder="1" applyAlignment="1">
      <alignment horizontal="center"/>
    </xf>
    <xf numFmtId="3" fontId="25" fillId="0" borderId="40" xfId="0" applyNumberFormat="1" applyFont="1" applyFill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8" fillId="0" borderId="24" xfId="67" applyFont="1" applyBorder="1" applyAlignment="1">
      <alignment horizontal="center" vertical="center" wrapText="1"/>
      <protection/>
    </xf>
    <xf numFmtId="0" fontId="50" fillId="0" borderId="22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4" fillId="33" borderId="94" xfId="0" applyFont="1" applyFill="1" applyBorder="1" applyAlignment="1">
      <alignment horizontal="center" vertical="center"/>
    </xf>
    <xf numFmtId="0" fontId="4" fillId="33" borderId="95" xfId="0" applyFont="1" applyFill="1" applyBorder="1" applyAlignment="1">
      <alignment horizontal="center" vertical="center"/>
    </xf>
    <xf numFmtId="0" fontId="4" fillId="33" borderId="96" xfId="0" applyFont="1" applyFill="1" applyBorder="1" applyAlignment="1">
      <alignment horizontal="center" vertical="center" wrapText="1"/>
    </xf>
    <xf numFmtId="0" fontId="4" fillId="33" borderId="97" xfId="0" applyFont="1" applyFill="1" applyBorder="1" applyAlignment="1">
      <alignment horizontal="center" vertical="center" wrapText="1"/>
    </xf>
    <xf numFmtId="0" fontId="4" fillId="33" borderId="96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/>
    </xf>
    <xf numFmtId="0" fontId="16" fillId="0" borderId="100" xfId="0" applyFont="1" applyBorder="1" applyAlignment="1">
      <alignment horizontal="center"/>
    </xf>
    <xf numFmtId="0" fontId="16" fillId="0" borderId="101" xfId="0" applyFont="1" applyBorder="1" applyAlignment="1">
      <alignment horizontal="center"/>
    </xf>
    <xf numFmtId="0" fontId="16" fillId="0" borderId="102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10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8" fillId="0" borderId="17" xfId="67" applyFont="1" applyFill="1" applyBorder="1" applyAlignment="1">
      <alignment horizontal="center"/>
      <protection/>
    </xf>
    <xf numFmtId="0" fontId="28" fillId="0" borderId="12" xfId="67" applyFont="1" applyFill="1" applyBorder="1" applyAlignment="1">
      <alignment horizontal="center"/>
      <protection/>
    </xf>
    <xf numFmtId="0" fontId="36" fillId="0" borderId="0" xfId="67" applyFont="1" applyFill="1" applyAlignment="1">
      <alignment horizontal="center"/>
      <protection/>
    </xf>
    <xf numFmtId="0" fontId="35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20" fillId="0" borderId="14" xfId="70" applyFont="1" applyFill="1" applyBorder="1" applyAlignment="1">
      <alignment horizontal="center" vertical="center"/>
      <protection/>
    </xf>
    <xf numFmtId="0" fontId="28" fillId="34" borderId="28" xfId="70" applyFont="1" applyFill="1" applyBorder="1" applyAlignment="1">
      <alignment horizontal="left" vertical="center"/>
      <protection/>
    </xf>
    <xf numFmtId="0" fontId="28" fillId="34" borderId="14" xfId="70" applyFont="1" applyFill="1" applyBorder="1" applyAlignment="1">
      <alignment horizontal="left" vertical="center"/>
      <protection/>
    </xf>
    <xf numFmtId="0" fontId="28" fillId="34" borderId="14" xfId="70" applyFont="1" applyFill="1" applyBorder="1" applyAlignment="1">
      <alignment vertical="center"/>
      <protection/>
    </xf>
    <xf numFmtId="0" fontId="28" fillId="34" borderId="29" xfId="70" applyFont="1" applyFill="1" applyBorder="1" applyAlignment="1">
      <alignment vertical="center"/>
      <protection/>
    </xf>
    <xf numFmtId="0" fontId="28" fillId="0" borderId="28" xfId="70" applyFont="1" applyFill="1" applyBorder="1" applyAlignment="1">
      <alignment horizontal="left" vertical="center"/>
      <protection/>
    </xf>
    <xf numFmtId="0" fontId="28" fillId="0" borderId="14" xfId="70" applyFont="1" applyFill="1" applyBorder="1" applyAlignment="1">
      <alignment horizontal="left" vertical="center"/>
      <protection/>
    </xf>
    <xf numFmtId="0" fontId="28" fillId="0" borderId="14" xfId="70" applyFont="1" applyFill="1" applyBorder="1" applyAlignment="1">
      <alignment vertical="center"/>
      <protection/>
    </xf>
    <xf numFmtId="0" fontId="28" fillId="0" borderId="29" xfId="70" applyFont="1" applyFill="1" applyBorder="1" applyAlignment="1">
      <alignment vertical="center"/>
      <protection/>
    </xf>
    <xf numFmtId="0" fontId="20" fillId="0" borderId="30" xfId="70" applyFont="1" applyFill="1" applyBorder="1" applyAlignment="1">
      <alignment horizontal="center" vertical="center" wrapText="1"/>
      <protection/>
    </xf>
    <xf numFmtId="0" fontId="20" fillId="0" borderId="28" xfId="70" applyFont="1" applyFill="1" applyBorder="1" applyAlignment="1">
      <alignment wrapText="1"/>
      <protection/>
    </xf>
    <xf numFmtId="0" fontId="20" fillId="0" borderId="22" xfId="70" applyFont="1" applyFill="1" applyBorder="1" applyAlignment="1">
      <alignment horizontal="center" vertical="center" wrapText="1"/>
      <protection/>
    </xf>
    <xf numFmtId="0" fontId="28" fillId="0" borderId="0" xfId="70" applyFont="1" applyAlignment="1">
      <alignment horizontal="center"/>
      <protection/>
    </xf>
    <xf numFmtId="0" fontId="20" fillId="0" borderId="31" xfId="70" applyFont="1" applyFill="1" applyBorder="1" applyAlignment="1">
      <alignment horizontal="center" vertical="center" wrapText="1"/>
      <protection/>
    </xf>
    <xf numFmtId="0" fontId="20" fillId="0" borderId="14" xfId="70" applyFont="1" applyFill="1" applyBorder="1" applyAlignment="1">
      <alignment horizontal="center" vertical="center" wrapText="1"/>
      <protection/>
    </xf>
    <xf numFmtId="0" fontId="20" fillId="0" borderId="29" xfId="70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8" fillId="0" borderId="0" xfId="67" applyFont="1" applyFill="1" applyBorder="1" applyAlignment="1">
      <alignment horizontal="center" vertical="center"/>
      <protection/>
    </xf>
    <xf numFmtId="0" fontId="11" fillId="0" borderId="0" xfId="67" applyFill="1" applyBorder="1" applyAlignment="1">
      <alignment horizontal="center" vertical="center" wrapText="1"/>
      <protection/>
    </xf>
    <xf numFmtId="0" fontId="21" fillId="0" borderId="0" xfId="67" applyFont="1" applyFill="1" applyBorder="1" applyAlignment="1">
      <alignment horizontal="center" vertical="center"/>
      <protection/>
    </xf>
    <xf numFmtId="3" fontId="28" fillId="0" borderId="0" xfId="67" applyNumberFormat="1" applyFont="1" applyFill="1" applyBorder="1" applyAlignment="1">
      <alignment horizontal="center" vertical="center" wrapText="1"/>
      <protection/>
    </xf>
    <xf numFmtId="0" fontId="28" fillId="0" borderId="0" xfId="67" applyFont="1" applyFill="1" applyAlignment="1">
      <alignment horizontal="center"/>
      <protection/>
    </xf>
    <xf numFmtId="0" fontId="38" fillId="0" borderId="0" xfId="67" applyFont="1" applyFill="1" applyAlignment="1">
      <alignment horizontal="center"/>
      <protection/>
    </xf>
    <xf numFmtId="0" fontId="25" fillId="33" borderId="0" xfId="0" applyFont="1" applyFill="1" applyBorder="1" applyAlignment="1">
      <alignment horizontal="center"/>
    </xf>
    <xf numFmtId="0" fontId="26" fillId="33" borderId="24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7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 1" xfId="40"/>
    <cellStyle name="Comma" xfId="41"/>
    <cellStyle name="Comma [0]" xfId="42"/>
    <cellStyle name="Ezres 2" xfId="43"/>
    <cellStyle name="Ezres 2 2" xfId="44"/>
    <cellStyle name="Ezres 2 3" xfId="45"/>
    <cellStyle name="Ezres 3" xfId="46"/>
    <cellStyle name="Ezres 3 2" xfId="47"/>
    <cellStyle name="Ezres 4" xfId="48"/>
    <cellStyle name="Ezres 4 2" xfId="49"/>
    <cellStyle name="Ezres 5" xfId="50"/>
    <cellStyle name="Ezres 5 2" xfId="51"/>
    <cellStyle name="Figyelmeztetés" xfId="52"/>
    <cellStyle name="Hyperlink" xfId="53"/>
    <cellStyle name="Hivatkozott cella" xfId="54"/>
    <cellStyle name="Jegyzet" xfId="55"/>
    <cellStyle name="Jelölőszín 1" xfId="56"/>
    <cellStyle name="Jelölőszín 2" xfId="57"/>
    <cellStyle name="Jelölőszín 3" xfId="58"/>
    <cellStyle name="Jelölőszín 4" xfId="59"/>
    <cellStyle name="Jelölőszín 5" xfId="60"/>
    <cellStyle name="Jelölőszín 6" xfId="61"/>
    <cellStyle name="Jó" xfId="62"/>
    <cellStyle name="Kimenet" xfId="63"/>
    <cellStyle name="ktsgv" xfId="64"/>
    <cellStyle name="Followed Hyperlink" xfId="65"/>
    <cellStyle name="Magyarázó szöveg" xfId="66"/>
    <cellStyle name="Normál 2" xfId="67"/>
    <cellStyle name="Normál 2 2" xfId="68"/>
    <cellStyle name="Normál 3" xfId="69"/>
    <cellStyle name="Normál 3 2" xfId="70"/>
    <cellStyle name="Normál 3 2 2" xfId="71"/>
    <cellStyle name="Normál 3 3" xfId="72"/>
    <cellStyle name="Normál 4" xfId="73"/>
    <cellStyle name="Normál 4 2" xfId="74"/>
    <cellStyle name="Normál 4 2 2" xfId="75"/>
    <cellStyle name="Normál 5" xfId="76"/>
    <cellStyle name="Normál 6" xfId="77"/>
    <cellStyle name="Normál 6 2" xfId="78"/>
    <cellStyle name="Normál_1.számú melléklet" xfId="79"/>
    <cellStyle name="Összesen" xfId="80"/>
    <cellStyle name="Currency" xfId="81"/>
    <cellStyle name="Currency [0]" xfId="82"/>
    <cellStyle name="Rossz" xfId="83"/>
    <cellStyle name="Semleges" xfId="84"/>
    <cellStyle name="SIMA" xfId="85"/>
    <cellStyle name="Számítás" xfId="86"/>
    <cellStyle name="Percen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zsu_C\2011_ment&#233;sek\R&#233;gi%2013_t_&#193;gi&#233;%20f&#233;l&#233;v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46;lts&#233;gvetesek\2015\1_v&#225;ltozat\2015_11szmell_beruh&#225;z&#225;s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zsu_C\2011_ment&#233;sek\R&#233;gi%2013_t_&#193;gi&#233;%20f&#233;l&#233;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_sz_2011 félév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sz._ Önk_beruh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_sz_2011 félév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workbookViewId="0" topLeftCell="A1">
      <selection activeCell="L11" sqref="L11"/>
    </sheetView>
  </sheetViews>
  <sheetFormatPr defaultColWidth="9.00390625" defaultRowHeight="12.75"/>
  <cols>
    <col min="1" max="1" width="4.375" style="26" customWidth="1"/>
    <col min="2" max="2" width="55.125" style="29" customWidth="1"/>
    <col min="3" max="3" width="21.625" style="26" customWidth="1"/>
    <col min="4" max="4" width="4.375" style="26" customWidth="1"/>
    <col min="5" max="5" width="61.25390625" style="29" bestFit="1" customWidth="1"/>
    <col min="6" max="6" width="23.375" style="29" customWidth="1"/>
    <col min="7" max="7" width="13.00390625" style="29" customWidth="1"/>
    <col min="8" max="16384" width="9.125" style="29" customWidth="1"/>
  </cols>
  <sheetData>
    <row r="1" spans="1:6" ht="15.75">
      <c r="A1" s="25"/>
      <c r="B1" s="24"/>
      <c r="C1" s="25"/>
      <c r="D1" s="25"/>
      <c r="E1" s="27"/>
      <c r="F1" s="2" t="s">
        <v>255</v>
      </c>
    </row>
    <row r="2" spans="1:6" ht="12.75">
      <c r="A2" s="27"/>
      <c r="B2" s="26"/>
      <c r="C2" s="27"/>
      <c r="D2" s="27"/>
      <c r="E2" s="27"/>
      <c r="F2" s="3"/>
    </row>
    <row r="3" spans="1:6" ht="18.75">
      <c r="A3" s="29"/>
      <c r="B3" s="734" t="s">
        <v>838</v>
      </c>
      <c r="C3" s="734"/>
      <c r="D3" s="734"/>
      <c r="E3" s="734"/>
      <c r="F3" s="734"/>
    </row>
    <row r="4" spans="1:6" ht="12.75">
      <c r="A4" s="29"/>
      <c r="B4" s="735" t="s">
        <v>256</v>
      </c>
      <c r="C4" s="735"/>
      <c r="D4" s="735"/>
      <c r="E4" s="735"/>
      <c r="F4" s="735"/>
    </row>
    <row r="5" spans="2:5" ht="13.5" thickBot="1">
      <c r="B5" s="26"/>
      <c r="E5" s="27"/>
    </row>
    <row r="6" spans="1:6" s="70" customFormat="1" ht="52.5" customHeight="1" thickBot="1" thickTop="1">
      <c r="A6" s="72"/>
      <c r="B6" s="71" t="s">
        <v>348</v>
      </c>
      <c r="C6" s="72" t="s">
        <v>473</v>
      </c>
      <c r="D6" s="72"/>
      <c r="E6" s="71" t="s">
        <v>347</v>
      </c>
      <c r="F6" s="73" t="s">
        <v>474</v>
      </c>
    </row>
    <row r="7" spans="1:6" s="30" customFormat="1" ht="21.75" customHeight="1" thickTop="1">
      <c r="A7" s="270"/>
      <c r="B7" s="271" t="s">
        <v>1</v>
      </c>
      <c r="C7" s="272">
        <v>2584748570</v>
      </c>
      <c r="D7" s="272"/>
      <c r="E7" s="330" t="s">
        <v>224</v>
      </c>
      <c r="F7" s="273">
        <v>2226183104</v>
      </c>
    </row>
    <row r="8" spans="1:6" ht="21.75" customHeight="1">
      <c r="A8" s="274"/>
      <c r="B8" s="81" t="s">
        <v>254</v>
      </c>
      <c r="C8" s="87">
        <v>18083654</v>
      </c>
      <c r="D8" s="248"/>
      <c r="E8" s="331" t="s">
        <v>225</v>
      </c>
      <c r="F8" s="275">
        <v>342989626</v>
      </c>
    </row>
    <row r="9" spans="1:6" s="28" customFormat="1" ht="21.75" customHeight="1">
      <c r="A9" s="276"/>
      <c r="B9" s="83" t="s">
        <v>2</v>
      </c>
      <c r="C9" s="87">
        <v>2964000000</v>
      </c>
      <c r="D9" s="87"/>
      <c r="E9" s="332" t="s">
        <v>226</v>
      </c>
      <c r="F9" s="277">
        <f>2459999155-1938+53168</f>
        <v>2460050385</v>
      </c>
    </row>
    <row r="10" spans="1:6" s="28" customFormat="1" ht="21.75" customHeight="1">
      <c r="A10" s="276"/>
      <c r="B10" s="83" t="s">
        <v>3</v>
      </c>
      <c r="C10" s="87">
        <f>364809551+53168</f>
        <v>364862719</v>
      </c>
      <c r="D10" s="87"/>
      <c r="E10" s="333" t="s">
        <v>227</v>
      </c>
      <c r="F10" s="277">
        <v>11000000</v>
      </c>
    </row>
    <row r="11" spans="1:6" s="28" customFormat="1" ht="21.75" customHeight="1">
      <c r="A11" s="276"/>
      <c r="B11" s="84"/>
      <c r="C11" s="87"/>
      <c r="D11" s="87"/>
      <c r="E11" s="332" t="s">
        <v>472</v>
      </c>
      <c r="F11" s="277">
        <v>537993099</v>
      </c>
    </row>
    <row r="12" spans="1:6" s="28" customFormat="1" ht="21.75" customHeight="1">
      <c r="A12" s="276"/>
      <c r="B12" s="84"/>
      <c r="C12" s="87"/>
      <c r="D12" s="87"/>
      <c r="E12" s="334" t="s">
        <v>590</v>
      </c>
      <c r="F12" s="277">
        <f>149528506+150000</f>
        <v>149678506</v>
      </c>
    </row>
    <row r="13" spans="1:6" s="28" customFormat="1" ht="21.75" customHeight="1">
      <c r="A13" s="276"/>
      <c r="B13" s="85"/>
      <c r="C13" s="87"/>
      <c r="D13" s="87"/>
      <c r="E13" s="332" t="s">
        <v>591</v>
      </c>
      <c r="F13" s="277">
        <v>80000000</v>
      </c>
    </row>
    <row r="14" spans="1:6" s="28" customFormat="1" ht="21.75" customHeight="1">
      <c r="A14" s="276"/>
      <c r="B14" s="84"/>
      <c r="C14" s="87"/>
      <c r="D14" s="87"/>
      <c r="E14" s="333" t="s">
        <v>228</v>
      </c>
      <c r="F14" s="277">
        <v>3000000</v>
      </c>
    </row>
    <row r="15" spans="1:6" s="28" customFormat="1" ht="21.75" customHeight="1">
      <c r="A15" s="276"/>
      <c r="B15" s="84"/>
      <c r="C15" s="87"/>
      <c r="D15" s="87"/>
      <c r="E15" s="333" t="s">
        <v>229</v>
      </c>
      <c r="F15" s="277">
        <v>50000000</v>
      </c>
    </row>
    <row r="16" spans="1:8" s="79" customFormat="1" ht="23.25" customHeight="1">
      <c r="A16" s="278" t="s">
        <v>22</v>
      </c>
      <c r="B16" s="76" t="s">
        <v>350</v>
      </c>
      <c r="C16" s="88">
        <f>SUM(C7:C15)</f>
        <v>5931694943</v>
      </c>
      <c r="D16" s="88" t="s">
        <v>22</v>
      </c>
      <c r="E16" s="76" t="s">
        <v>349</v>
      </c>
      <c r="F16" s="279">
        <f>SUM(F7:F15)</f>
        <v>5860894720</v>
      </c>
      <c r="G16" s="78"/>
      <c r="H16" s="539"/>
    </row>
    <row r="17" spans="1:6" s="28" customFormat="1" ht="25.5" customHeight="1">
      <c r="A17" s="280"/>
      <c r="B17" s="84" t="s">
        <v>4</v>
      </c>
      <c r="C17" s="89">
        <v>3125057</v>
      </c>
      <c r="D17" s="89"/>
      <c r="E17" s="84" t="s">
        <v>230</v>
      </c>
      <c r="F17" s="281">
        <v>2118383102</v>
      </c>
    </row>
    <row r="18" spans="1:6" s="28" customFormat="1" ht="21.75" customHeight="1">
      <c r="A18" s="282"/>
      <c r="C18" s="90"/>
      <c r="D18" s="90"/>
      <c r="E18" s="84" t="s">
        <v>231</v>
      </c>
      <c r="F18" s="281">
        <f>273483794-23300000</f>
        <v>250183794</v>
      </c>
    </row>
    <row r="19" spans="1:6" s="28" customFormat="1" ht="21.75" customHeight="1">
      <c r="A19" s="283"/>
      <c r="B19" s="84"/>
      <c r="C19" s="249"/>
      <c r="D19" s="249"/>
      <c r="E19" s="96" t="s">
        <v>594</v>
      </c>
      <c r="F19" s="281">
        <v>6600000</v>
      </c>
    </row>
    <row r="20" spans="1:6" s="28" customFormat="1" ht="21.75" customHeight="1">
      <c r="A20" s="284"/>
      <c r="B20" s="80"/>
      <c r="C20" s="91"/>
      <c r="D20" s="91"/>
      <c r="E20" s="96" t="s">
        <v>595</v>
      </c>
      <c r="F20" s="281">
        <v>443945000</v>
      </c>
    </row>
    <row r="21" spans="1:6" s="28" customFormat="1" ht="21.75" customHeight="1">
      <c r="A21" s="285"/>
      <c r="B21" s="83"/>
      <c r="C21" s="92"/>
      <c r="D21" s="92"/>
      <c r="E21" s="84" t="s">
        <v>232</v>
      </c>
      <c r="F21" s="281">
        <v>499500000</v>
      </c>
    </row>
    <row r="22" spans="1:7" s="75" customFormat="1" ht="23.25" customHeight="1">
      <c r="A22" s="278" t="s">
        <v>70</v>
      </c>
      <c r="B22" s="76" t="s">
        <v>352</v>
      </c>
      <c r="C22" s="88">
        <f>SUM(C17:C21)</f>
        <v>3125057</v>
      </c>
      <c r="D22" s="88" t="s">
        <v>70</v>
      </c>
      <c r="E22" s="76" t="s">
        <v>351</v>
      </c>
      <c r="F22" s="279">
        <f>SUM(F17:F21)</f>
        <v>3318611896</v>
      </c>
      <c r="G22" s="74"/>
    </row>
    <row r="23" spans="1:6" s="28" customFormat="1" ht="16.5" customHeight="1">
      <c r="A23" s="278"/>
      <c r="B23" s="77"/>
      <c r="C23" s="88"/>
      <c r="D23" s="88"/>
      <c r="E23" s="76"/>
      <c r="F23" s="286"/>
    </row>
    <row r="24" spans="1:7" s="75" customFormat="1" ht="23.25" customHeight="1">
      <c r="A24" s="278"/>
      <c r="B24" s="76" t="s">
        <v>475</v>
      </c>
      <c r="C24" s="88">
        <f>+C22+C16</f>
        <v>5934820000</v>
      </c>
      <c r="D24" s="88"/>
      <c r="E24" s="76" t="s">
        <v>476</v>
      </c>
      <c r="F24" s="279">
        <f>+F22+F16</f>
        <v>9179506616</v>
      </c>
      <c r="G24" s="74"/>
    </row>
    <row r="25" spans="1:6" s="28" customFormat="1" ht="23.25" customHeight="1">
      <c r="A25" s="282"/>
      <c r="B25" s="85" t="s">
        <v>834</v>
      </c>
      <c r="C25" s="90">
        <v>234420438</v>
      </c>
      <c r="D25" s="90"/>
      <c r="E25" s="82" t="s">
        <v>464</v>
      </c>
      <c r="F25" s="287">
        <v>94593384</v>
      </c>
    </row>
    <row r="26" spans="1:6" s="28" customFormat="1" ht="25.5" customHeight="1">
      <c r="A26" s="282"/>
      <c r="B26" s="85" t="s">
        <v>833</v>
      </c>
      <c r="C26" s="90">
        <v>2160579562</v>
      </c>
      <c r="D26" s="90"/>
      <c r="E26" s="84"/>
      <c r="F26" s="288"/>
    </row>
    <row r="27" spans="1:6" s="28" customFormat="1" ht="30">
      <c r="A27" s="276"/>
      <c r="B27" s="85" t="s">
        <v>283</v>
      </c>
      <c r="C27" s="87">
        <f>967580000-23300000</f>
        <v>944280000</v>
      </c>
      <c r="D27" s="87"/>
      <c r="E27" s="80"/>
      <c r="F27" s="281"/>
    </row>
    <row r="28" spans="1:7" s="75" customFormat="1" ht="23.25" customHeight="1">
      <c r="A28" s="278" t="s">
        <v>479</v>
      </c>
      <c r="B28" s="76" t="s">
        <v>9</v>
      </c>
      <c r="C28" s="88">
        <f>SUM(C25:C27)</f>
        <v>3339280000</v>
      </c>
      <c r="D28" s="88" t="s">
        <v>479</v>
      </c>
      <c r="E28" s="76" t="s">
        <v>173</v>
      </c>
      <c r="F28" s="279">
        <f>SUM(F25:F27)</f>
        <v>94593384</v>
      </c>
      <c r="G28" s="74"/>
    </row>
    <row r="29" spans="1:6" s="28" customFormat="1" ht="21.75" customHeight="1" thickBot="1">
      <c r="A29" s="289"/>
      <c r="B29" s="290"/>
      <c r="C29" s="291"/>
      <c r="D29" s="291"/>
      <c r="E29" s="290"/>
      <c r="F29" s="292"/>
    </row>
    <row r="30" spans="1:7" s="75" customFormat="1" ht="23.25" customHeight="1" thickBot="1" thickTop="1">
      <c r="A30" s="267"/>
      <c r="B30" s="86" t="s">
        <v>477</v>
      </c>
      <c r="C30" s="268">
        <f>+C28+C24</f>
        <v>9274100000</v>
      </c>
      <c r="D30" s="268"/>
      <c r="E30" s="86" t="s">
        <v>478</v>
      </c>
      <c r="F30" s="269">
        <f>+F28+F24</f>
        <v>9274100000</v>
      </c>
      <c r="G30" s="74"/>
    </row>
    <row r="31" ht="19.5" customHeight="1" thickTop="1">
      <c r="F31" s="26"/>
    </row>
    <row r="32" spans="1:6" ht="19.5" customHeight="1">
      <c r="A32" s="251"/>
      <c r="B32" s="250" t="s">
        <v>465</v>
      </c>
      <c r="C32" s="251">
        <f>+C16+C25-F16-F25</f>
        <v>210627277</v>
      </c>
      <c r="D32" s="251"/>
      <c r="E32" s="250"/>
      <c r="F32" s="251"/>
    </row>
    <row r="33" spans="1:6" ht="19.5" customHeight="1">
      <c r="A33" s="251"/>
      <c r="B33" s="250" t="s">
        <v>466</v>
      </c>
      <c r="C33" s="251">
        <f>+C17+C26+C27-F22</f>
        <v>-210627277</v>
      </c>
      <c r="D33" s="251"/>
      <c r="E33" s="250"/>
      <c r="F33" s="251"/>
    </row>
    <row r="34" spans="1:7" ht="19.5" customHeight="1">
      <c r="A34" s="252"/>
      <c r="B34" s="250" t="s">
        <v>467</v>
      </c>
      <c r="C34" s="252">
        <f>SUM(C32:C33)</f>
        <v>0</v>
      </c>
      <c r="D34" s="252"/>
      <c r="E34" s="263"/>
      <c r="F34" s="266"/>
      <c r="G34" s="264"/>
    </row>
    <row r="35" spans="1:7" ht="15">
      <c r="A35" s="69"/>
      <c r="C35" s="69"/>
      <c r="D35" s="69"/>
      <c r="E35" s="265"/>
      <c r="F35" s="266"/>
      <c r="G35" s="264"/>
    </row>
    <row r="36" spans="5:7" ht="12.75">
      <c r="E36" s="264"/>
      <c r="F36" s="264"/>
      <c r="G36" s="264"/>
    </row>
    <row r="37" spans="5:7" ht="12.75">
      <c r="E37" s="264"/>
      <c r="F37" s="264"/>
      <c r="G37" s="264"/>
    </row>
  </sheetData>
  <sheetProtection/>
  <mergeCells count="2">
    <mergeCell ref="B3:F3"/>
    <mergeCell ref="B4:F4"/>
  </mergeCells>
  <printOptions horizontalCentered="1"/>
  <pageMargins left="0.15748031496062992" right="0.15748031496062992" top="0.4330708661417323" bottom="0.4724409448818898" header="0.15748031496062992" footer="0.1968503937007874"/>
  <pageSetup horizontalDpi="600" verticalDpi="600" orientation="landscape" paperSize="9" scale="54" r:id="rId1"/>
  <colBreaks count="1" manualBreakCount="1">
    <brk id="6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D142"/>
  <sheetViews>
    <sheetView zoomScale="130" zoomScaleNormal="130" workbookViewId="0" topLeftCell="A128">
      <selection activeCell="D141" sqref="D141"/>
    </sheetView>
  </sheetViews>
  <sheetFormatPr defaultColWidth="9.00390625" defaultRowHeight="12.75"/>
  <cols>
    <col min="1" max="1" width="8.375" style="514" customWidth="1"/>
    <col min="2" max="2" width="92.25390625" style="515" bestFit="1" customWidth="1"/>
    <col min="3" max="3" width="17.75390625" style="500" customWidth="1"/>
    <col min="4" max="4" width="21.625" style="500" bestFit="1" customWidth="1"/>
    <col min="5" max="5" width="16.25390625" style="472" bestFit="1" customWidth="1"/>
    <col min="6" max="7" width="16.25390625" style="469" bestFit="1" customWidth="1"/>
    <col min="8" max="8" width="13.75390625" style="484" bestFit="1" customWidth="1"/>
    <col min="9" max="9" width="16.25390625" style="484" bestFit="1" customWidth="1"/>
    <col min="10" max="10" width="14.75390625" style="484" bestFit="1" customWidth="1"/>
    <col min="11" max="16384" width="9.125" style="484" customWidth="1"/>
  </cols>
  <sheetData>
    <row r="1" spans="1:5" s="469" customFormat="1" ht="15">
      <c r="A1" s="469" t="s">
        <v>0</v>
      </c>
      <c r="B1" s="470"/>
      <c r="C1" s="471" t="s">
        <v>580</v>
      </c>
      <c r="D1" s="472"/>
      <c r="E1" s="472"/>
    </row>
    <row r="2" spans="1:5" s="469" customFormat="1" ht="15">
      <c r="A2" s="473"/>
      <c r="B2" s="474"/>
      <c r="C2" s="472"/>
      <c r="D2" s="472"/>
      <c r="E2" s="472"/>
    </row>
    <row r="3" spans="1:5" s="469" customFormat="1" ht="15">
      <c r="A3" s="787" t="s">
        <v>709</v>
      </c>
      <c r="B3" s="787"/>
      <c r="C3" s="787"/>
      <c r="D3" s="472"/>
      <c r="E3" s="472"/>
    </row>
    <row r="4" spans="1:5" s="469" customFormat="1" ht="15">
      <c r="A4" s="788" t="s">
        <v>74</v>
      </c>
      <c r="B4" s="788"/>
      <c r="C4" s="788"/>
      <c r="D4" s="472"/>
      <c r="E4" s="472"/>
    </row>
    <row r="5" spans="1:5" s="469" customFormat="1" ht="15">
      <c r="A5" s="473"/>
      <c r="B5" s="473"/>
      <c r="C5" s="472"/>
      <c r="D5" s="472"/>
      <c r="E5" s="472"/>
    </row>
    <row r="6" spans="1:5" s="469" customFormat="1" ht="15.75" thickBot="1">
      <c r="A6" s="473"/>
      <c r="B6" s="473"/>
      <c r="C6" s="472"/>
      <c r="D6" s="472"/>
      <c r="E6" s="472"/>
    </row>
    <row r="7" spans="1:3" s="469" customFormat="1" ht="44.25" customHeight="1" thickBot="1" thickTop="1">
      <c r="A7" s="145" t="s">
        <v>372</v>
      </c>
      <c r="B7" s="146" t="s">
        <v>95</v>
      </c>
      <c r="C7" s="147" t="s">
        <v>710</v>
      </c>
    </row>
    <row r="8" spans="1:7" s="478" customFormat="1" ht="19.5" customHeight="1" thickTop="1">
      <c r="A8" s="475" t="s">
        <v>22</v>
      </c>
      <c r="B8" s="476" t="s">
        <v>65</v>
      </c>
      <c r="C8" s="477"/>
      <c r="E8" s="479"/>
      <c r="F8" s="479"/>
      <c r="G8" s="479"/>
    </row>
    <row r="9" spans="1:7" s="478" customFormat="1" ht="19.5" customHeight="1">
      <c r="A9" s="480"/>
      <c r="B9" s="481"/>
      <c r="C9" s="477"/>
      <c r="E9" s="479"/>
      <c r="F9" s="479"/>
      <c r="G9" s="479"/>
    </row>
    <row r="10" spans="1:30" ht="19.5" customHeight="1">
      <c r="A10" s="482" t="s">
        <v>14</v>
      </c>
      <c r="B10" s="481" t="s">
        <v>15</v>
      </c>
      <c r="C10" s="483"/>
      <c r="D10" s="484"/>
      <c r="E10" s="485"/>
      <c r="F10" s="485"/>
      <c r="G10" s="485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</row>
    <row r="11" spans="1:30" ht="19.5" customHeight="1">
      <c r="A11" s="487" t="s">
        <v>25</v>
      </c>
      <c r="B11" s="516" t="s">
        <v>711</v>
      </c>
      <c r="C11" s="488"/>
      <c r="D11" s="484"/>
      <c r="E11" s="485"/>
      <c r="F11" s="485"/>
      <c r="G11" s="485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</row>
    <row r="12" spans="1:30" ht="19.5" customHeight="1">
      <c r="A12" s="487"/>
      <c r="B12" s="503" t="s">
        <v>712</v>
      </c>
      <c r="C12" s="488">
        <v>3336600</v>
      </c>
      <c r="D12" s="489"/>
      <c r="E12" s="485"/>
      <c r="F12" s="485"/>
      <c r="G12" s="485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</row>
    <row r="13" spans="1:30" ht="19.5" customHeight="1">
      <c r="A13" s="487"/>
      <c r="B13" s="503" t="s">
        <v>713</v>
      </c>
      <c r="C13" s="488">
        <v>4572000</v>
      </c>
      <c r="D13" s="484"/>
      <c r="E13" s="485"/>
      <c r="F13" s="485"/>
      <c r="G13" s="485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</row>
    <row r="14" spans="1:30" ht="19.5" customHeight="1">
      <c r="A14" s="487"/>
      <c r="B14" s="503" t="s">
        <v>714</v>
      </c>
      <c r="C14" s="488">
        <v>638846</v>
      </c>
      <c r="D14" s="484"/>
      <c r="E14" s="485"/>
      <c r="F14" s="485"/>
      <c r="G14" s="485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</row>
    <row r="15" spans="1:30" ht="19.5" customHeight="1">
      <c r="A15" s="487"/>
      <c r="B15" s="503"/>
      <c r="C15" s="488"/>
      <c r="D15" s="484"/>
      <c r="E15" s="485"/>
      <c r="F15" s="485"/>
      <c r="G15" s="485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</row>
    <row r="16" spans="1:30" ht="19.5" customHeight="1">
      <c r="A16" s="487" t="s">
        <v>27</v>
      </c>
      <c r="B16" s="517" t="s">
        <v>715</v>
      </c>
      <c r="C16" s="488"/>
      <c r="D16" s="484"/>
      <c r="E16" s="485"/>
      <c r="F16" s="485"/>
      <c r="G16" s="485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</row>
    <row r="17" spans="1:30" ht="19.5" customHeight="1">
      <c r="A17" s="490"/>
      <c r="B17" s="518" t="s">
        <v>716</v>
      </c>
      <c r="C17" s="488"/>
      <c r="D17" s="484"/>
      <c r="E17" s="485"/>
      <c r="F17" s="485"/>
      <c r="G17" s="485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</row>
    <row r="18" spans="1:30" ht="19.5" customHeight="1">
      <c r="A18" s="491"/>
      <c r="B18" s="503" t="s">
        <v>717</v>
      </c>
      <c r="C18" s="488">
        <v>95808800</v>
      </c>
      <c r="D18" s="484"/>
      <c r="E18" s="485"/>
      <c r="F18" s="485"/>
      <c r="G18" s="485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</row>
    <row r="19" spans="1:30" ht="19.5" customHeight="1">
      <c r="A19" s="491"/>
      <c r="B19" s="492" t="s">
        <v>726</v>
      </c>
      <c r="C19" s="488">
        <v>30410288</v>
      </c>
      <c r="D19" s="484"/>
      <c r="E19" s="485"/>
      <c r="F19" s="485"/>
      <c r="G19" s="485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</row>
    <row r="20" spans="1:30" ht="19.5" customHeight="1">
      <c r="A20" s="491"/>
      <c r="B20" s="492" t="s">
        <v>718</v>
      </c>
      <c r="C20" s="488">
        <v>3488000</v>
      </c>
      <c r="D20" s="484"/>
      <c r="E20" s="485"/>
      <c r="F20" s="485"/>
      <c r="G20" s="485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</row>
    <row r="21" spans="1:30" ht="19.5" customHeight="1">
      <c r="A21" s="491"/>
      <c r="B21" s="492" t="s">
        <v>719</v>
      </c>
      <c r="C21" s="488">
        <v>54785705</v>
      </c>
      <c r="D21" s="484"/>
      <c r="E21" s="485"/>
      <c r="F21" s="485"/>
      <c r="G21" s="485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</row>
    <row r="22" spans="1:30" ht="19.5" customHeight="1">
      <c r="A22" s="491"/>
      <c r="B22" s="492" t="s">
        <v>720</v>
      </c>
      <c r="C22" s="488">
        <v>16977277</v>
      </c>
      <c r="D22" s="489"/>
      <c r="E22" s="485"/>
      <c r="F22" s="485"/>
      <c r="G22" s="485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</row>
    <row r="23" spans="1:30" ht="19.5" customHeight="1">
      <c r="A23" s="491"/>
      <c r="B23" s="492" t="s">
        <v>727</v>
      </c>
      <c r="C23" s="488">
        <v>21590000</v>
      </c>
      <c r="D23" s="484"/>
      <c r="E23" s="485"/>
      <c r="F23" s="485"/>
      <c r="G23" s="485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</row>
    <row r="24" spans="1:30" ht="19.5" customHeight="1">
      <c r="A24" s="491"/>
      <c r="B24" s="492" t="s">
        <v>721</v>
      </c>
      <c r="C24" s="488">
        <v>37127180</v>
      </c>
      <c r="D24" s="489"/>
      <c r="E24" s="485"/>
      <c r="F24" s="485"/>
      <c r="G24" s="485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</row>
    <row r="25" spans="1:30" ht="19.5" customHeight="1">
      <c r="A25" s="491"/>
      <c r="B25" s="492" t="s">
        <v>728</v>
      </c>
      <c r="C25" s="488">
        <v>1263650</v>
      </c>
      <c r="D25" s="489"/>
      <c r="E25" s="485"/>
      <c r="F25" s="485"/>
      <c r="G25" s="485"/>
      <c r="H25" s="485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</row>
    <row r="26" spans="1:30" ht="19.5" customHeight="1">
      <c r="A26" s="491"/>
      <c r="B26" s="492" t="s">
        <v>729</v>
      </c>
      <c r="C26" s="488">
        <v>2540000</v>
      </c>
      <c r="D26" s="484"/>
      <c r="E26" s="485"/>
      <c r="F26" s="485"/>
      <c r="G26" s="493"/>
      <c r="H26" s="485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</row>
    <row r="27" spans="1:30" ht="19.5" customHeight="1">
      <c r="A27" s="491"/>
      <c r="B27" s="492" t="s">
        <v>722</v>
      </c>
      <c r="C27" s="488">
        <v>2533650</v>
      </c>
      <c r="D27" s="489"/>
      <c r="E27" s="485"/>
      <c r="F27" s="485"/>
      <c r="G27" s="493"/>
      <c r="H27" s="485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</row>
    <row r="28" spans="1:30" ht="19.5" customHeight="1">
      <c r="A28" s="491"/>
      <c r="B28" s="492" t="s">
        <v>723</v>
      </c>
      <c r="C28" s="488">
        <v>312420</v>
      </c>
      <c r="D28" s="494"/>
      <c r="E28" s="485"/>
      <c r="F28" s="485"/>
      <c r="G28" s="485"/>
      <c r="H28" s="485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</row>
    <row r="29" spans="1:30" ht="19.5" customHeight="1">
      <c r="A29" s="491"/>
      <c r="B29" s="492" t="s">
        <v>724</v>
      </c>
      <c r="C29" s="488">
        <v>5080000</v>
      </c>
      <c r="D29" s="494"/>
      <c r="E29" s="485"/>
      <c r="F29" s="485"/>
      <c r="G29" s="485"/>
      <c r="H29" s="485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</row>
    <row r="30" spans="1:8" ht="19.5" customHeight="1">
      <c r="A30" s="491"/>
      <c r="B30" s="495" t="s">
        <v>725</v>
      </c>
      <c r="C30" s="488">
        <v>19050000</v>
      </c>
      <c r="D30" s="494"/>
      <c r="E30" s="469"/>
      <c r="H30" s="496"/>
    </row>
    <row r="31" spans="1:8" ht="19.5" customHeight="1">
      <c r="A31" s="491"/>
      <c r="B31" s="495" t="s">
        <v>773</v>
      </c>
      <c r="C31" s="488">
        <v>42000000</v>
      </c>
      <c r="D31" s="494"/>
      <c r="E31" s="469"/>
      <c r="H31" s="496"/>
    </row>
    <row r="32" spans="1:8" ht="19.5" customHeight="1">
      <c r="A32" s="491"/>
      <c r="B32" s="495"/>
      <c r="C32" s="488"/>
      <c r="D32" s="494"/>
      <c r="E32" s="469"/>
      <c r="H32" s="496"/>
    </row>
    <row r="33" spans="1:7" ht="19.5" customHeight="1">
      <c r="A33" s="491"/>
      <c r="B33" s="518" t="s">
        <v>730</v>
      </c>
      <c r="C33" s="488"/>
      <c r="D33" s="484"/>
      <c r="E33" s="469"/>
      <c r="G33" s="496"/>
    </row>
    <row r="34" spans="1:6" ht="19.5" customHeight="1">
      <c r="A34" s="491"/>
      <c r="B34" s="497" t="s">
        <v>732</v>
      </c>
      <c r="C34" s="488">
        <v>17780000</v>
      </c>
      <c r="D34" s="484"/>
      <c r="E34" s="469"/>
      <c r="F34" s="498"/>
    </row>
    <row r="35" spans="1:5" ht="19.5" customHeight="1">
      <c r="A35" s="491"/>
      <c r="B35" s="497" t="s">
        <v>731</v>
      </c>
      <c r="C35" s="488">
        <v>93414850</v>
      </c>
      <c r="D35" s="484"/>
      <c r="E35" s="469"/>
    </row>
    <row r="36" spans="1:3" ht="19.5" customHeight="1">
      <c r="A36" s="491"/>
      <c r="B36" s="499"/>
      <c r="C36" s="488"/>
    </row>
    <row r="37" spans="1:3" ht="19.5" customHeight="1">
      <c r="A37" s="491"/>
      <c r="B37" s="501" t="s">
        <v>733</v>
      </c>
      <c r="C37" s="488"/>
    </row>
    <row r="38" spans="1:3" ht="19.5" customHeight="1">
      <c r="A38" s="491"/>
      <c r="B38" s="492" t="s">
        <v>819</v>
      </c>
      <c r="C38" s="488">
        <v>1727200</v>
      </c>
    </row>
    <row r="39" spans="1:3" ht="19.5" customHeight="1">
      <c r="A39" s="491"/>
      <c r="B39" s="492" t="s">
        <v>820</v>
      </c>
      <c r="C39" s="488">
        <v>1250000</v>
      </c>
    </row>
    <row r="40" spans="1:3" ht="19.5" customHeight="1">
      <c r="A40" s="491"/>
      <c r="B40" s="492" t="s">
        <v>821</v>
      </c>
      <c r="C40" s="488">
        <v>3492500</v>
      </c>
    </row>
    <row r="41" spans="1:3" ht="19.5" customHeight="1">
      <c r="A41" s="491"/>
      <c r="B41" s="492" t="s">
        <v>734</v>
      </c>
      <c r="C41" s="488">
        <v>13970000</v>
      </c>
    </row>
    <row r="42" spans="1:3" ht="19.5" customHeight="1">
      <c r="A42" s="491"/>
      <c r="B42" s="492" t="s">
        <v>735</v>
      </c>
      <c r="C42" s="488">
        <v>9580880</v>
      </c>
    </row>
    <row r="43" spans="1:3" ht="19.5" customHeight="1">
      <c r="A43" s="491"/>
      <c r="B43" s="499"/>
      <c r="C43" s="488"/>
    </row>
    <row r="44" spans="1:3" ht="19.5" customHeight="1">
      <c r="A44" s="491"/>
      <c r="B44" s="501" t="s">
        <v>736</v>
      </c>
      <c r="C44" s="488"/>
    </row>
    <row r="45" spans="1:3" ht="19.5" customHeight="1">
      <c r="A45" s="491"/>
      <c r="B45" s="492" t="s">
        <v>818</v>
      </c>
      <c r="C45" s="488">
        <v>7747000</v>
      </c>
    </row>
    <row r="46" spans="1:3" ht="19.5" customHeight="1">
      <c r="A46" s="491"/>
      <c r="B46" s="492" t="s">
        <v>737</v>
      </c>
      <c r="C46" s="488">
        <v>3911600</v>
      </c>
    </row>
    <row r="47" spans="1:3" ht="19.5" customHeight="1">
      <c r="A47" s="491"/>
      <c r="B47" s="492" t="s">
        <v>738</v>
      </c>
      <c r="C47" s="488">
        <v>4651787.75</v>
      </c>
    </row>
    <row r="48" spans="1:3" ht="19.5" customHeight="1">
      <c r="A48" s="491"/>
      <c r="B48" s="492" t="s">
        <v>739</v>
      </c>
      <c r="C48" s="488">
        <v>4600257.5</v>
      </c>
    </row>
    <row r="49" spans="1:3" ht="19.5" customHeight="1">
      <c r="A49" s="491"/>
      <c r="B49" s="492" t="s">
        <v>740</v>
      </c>
      <c r="C49" s="488">
        <v>3577859.875</v>
      </c>
    </row>
    <row r="50" spans="1:3" ht="19.5" customHeight="1">
      <c r="A50" s="491"/>
      <c r="B50" s="503"/>
      <c r="C50" s="488"/>
    </row>
    <row r="51" spans="1:3" ht="19.5" customHeight="1">
      <c r="A51" s="491"/>
      <c r="B51" s="518" t="s">
        <v>741</v>
      </c>
      <c r="C51" s="488"/>
    </row>
    <row r="52" spans="1:3" ht="19.5" customHeight="1">
      <c r="A52" s="491"/>
      <c r="B52" s="497" t="s">
        <v>742</v>
      </c>
      <c r="C52" s="488">
        <v>600000</v>
      </c>
    </row>
    <row r="53" spans="1:3" ht="19.5" customHeight="1">
      <c r="A53" s="491"/>
      <c r="B53" s="497" t="s">
        <v>748</v>
      </c>
      <c r="C53" s="488">
        <v>38100000</v>
      </c>
    </row>
    <row r="54" spans="1:3" ht="19.5" customHeight="1">
      <c r="A54" s="491"/>
      <c r="B54" s="497" t="s">
        <v>747</v>
      </c>
      <c r="C54" s="488">
        <v>36863020</v>
      </c>
    </row>
    <row r="55" spans="1:3" ht="19.5" customHeight="1">
      <c r="A55" s="491"/>
      <c r="B55" s="497" t="s">
        <v>743</v>
      </c>
      <c r="C55" s="488">
        <v>27532648</v>
      </c>
    </row>
    <row r="56" spans="1:3" ht="19.5" customHeight="1">
      <c r="A56" s="491"/>
      <c r="B56" s="497" t="s">
        <v>744</v>
      </c>
      <c r="C56" s="488">
        <v>21052313.75</v>
      </c>
    </row>
    <row r="57" spans="1:3" ht="19.5" customHeight="1">
      <c r="A57" s="491"/>
      <c r="B57" s="497" t="s">
        <v>745</v>
      </c>
      <c r="C57" s="488">
        <v>1048086.55</v>
      </c>
    </row>
    <row r="58" spans="1:3" ht="19.5" customHeight="1">
      <c r="A58" s="491"/>
      <c r="B58" s="497" t="s">
        <v>746</v>
      </c>
      <c r="C58" s="488">
        <v>9000000</v>
      </c>
    </row>
    <row r="59" spans="1:3" ht="19.5" customHeight="1">
      <c r="A59" s="491"/>
      <c r="B59" s="497" t="s">
        <v>774</v>
      </c>
      <c r="C59" s="488">
        <v>50000000</v>
      </c>
    </row>
    <row r="60" spans="1:3" ht="19.5" customHeight="1">
      <c r="A60" s="491"/>
      <c r="B60" s="497"/>
      <c r="C60" s="488"/>
    </row>
    <row r="61" spans="1:3" ht="19.5" customHeight="1">
      <c r="A61" s="491"/>
      <c r="B61" s="518" t="s">
        <v>749</v>
      </c>
      <c r="C61" s="488"/>
    </row>
    <row r="62" spans="1:3" ht="19.5" customHeight="1">
      <c r="A62" s="491"/>
      <c r="B62" s="497" t="s">
        <v>751</v>
      </c>
      <c r="C62" s="488">
        <v>400000</v>
      </c>
    </row>
    <row r="63" spans="1:3" ht="19.5" customHeight="1">
      <c r="A63" s="491"/>
      <c r="B63" s="497" t="s">
        <v>750</v>
      </c>
      <c r="C63" s="488">
        <v>5400000</v>
      </c>
    </row>
    <row r="64" spans="1:3" ht="19.5" customHeight="1">
      <c r="A64" s="491"/>
      <c r="B64" s="497" t="s">
        <v>752</v>
      </c>
      <c r="C64" s="488">
        <v>50000000</v>
      </c>
    </row>
    <row r="65" spans="1:3" ht="19.5" customHeight="1">
      <c r="A65" s="491"/>
      <c r="B65" s="497" t="s">
        <v>753</v>
      </c>
      <c r="C65" s="488">
        <v>5000000</v>
      </c>
    </row>
    <row r="66" spans="1:3" ht="19.5" customHeight="1">
      <c r="A66" s="491"/>
      <c r="B66" s="503"/>
      <c r="C66" s="488"/>
    </row>
    <row r="67" spans="1:3" ht="19.5" customHeight="1">
      <c r="A67" s="491"/>
      <c r="B67" s="518" t="s">
        <v>754</v>
      </c>
      <c r="C67" s="488"/>
    </row>
    <row r="68" spans="1:3" ht="19.5" customHeight="1">
      <c r="A68" s="491"/>
      <c r="B68" s="492" t="s">
        <v>770</v>
      </c>
      <c r="C68" s="502">
        <v>571500</v>
      </c>
    </row>
    <row r="69" spans="1:3" ht="19.5" customHeight="1">
      <c r="A69" s="491"/>
      <c r="B69" s="492" t="s">
        <v>755</v>
      </c>
      <c r="C69" s="502">
        <v>9943617.4</v>
      </c>
    </row>
    <row r="70" spans="1:3" ht="19.5" customHeight="1">
      <c r="A70" s="491"/>
      <c r="B70" s="492" t="s">
        <v>756</v>
      </c>
      <c r="C70" s="502">
        <v>14680234.8</v>
      </c>
    </row>
    <row r="71" spans="1:3" ht="19.5" customHeight="1">
      <c r="A71" s="491"/>
      <c r="B71" s="492" t="s">
        <v>771</v>
      </c>
      <c r="C71" s="502">
        <v>17323765.2</v>
      </c>
    </row>
    <row r="72" spans="1:3" ht="19.5" customHeight="1">
      <c r="A72" s="491"/>
      <c r="B72" s="492" t="s">
        <v>757</v>
      </c>
      <c r="C72" s="502">
        <v>41148000</v>
      </c>
    </row>
    <row r="73" spans="1:3" ht="19.5" customHeight="1">
      <c r="A73" s="491"/>
      <c r="B73" s="492" t="s">
        <v>758</v>
      </c>
      <c r="C73" s="502">
        <v>24000000</v>
      </c>
    </row>
    <row r="74" spans="1:3" ht="19.5" customHeight="1">
      <c r="A74" s="491"/>
      <c r="B74" s="492" t="s">
        <v>759</v>
      </c>
      <c r="C74" s="502">
        <v>20000000</v>
      </c>
    </row>
    <row r="75" spans="1:3" ht="19.5" customHeight="1">
      <c r="A75" s="491"/>
      <c r="B75" s="492" t="s">
        <v>760</v>
      </c>
      <c r="C75" s="502">
        <v>52300000</v>
      </c>
    </row>
    <row r="76" spans="1:3" ht="19.5" customHeight="1">
      <c r="A76" s="491"/>
      <c r="B76" s="492" t="s">
        <v>761</v>
      </c>
      <c r="C76" s="502">
        <v>54000000</v>
      </c>
    </row>
    <row r="77" spans="1:3" ht="19.5" customHeight="1">
      <c r="A77" s="491"/>
      <c r="B77" s="492" t="s">
        <v>762</v>
      </c>
      <c r="C77" s="502">
        <v>4593926.55</v>
      </c>
    </row>
    <row r="78" spans="1:3" ht="19.5" customHeight="1">
      <c r="A78" s="491"/>
      <c r="B78" s="492" t="s">
        <v>763</v>
      </c>
      <c r="C78" s="502">
        <v>8178921</v>
      </c>
    </row>
    <row r="79" spans="1:3" ht="19.5" customHeight="1">
      <c r="A79" s="491"/>
      <c r="B79" s="492" t="s">
        <v>764</v>
      </c>
      <c r="C79" s="502">
        <v>1821079</v>
      </c>
    </row>
    <row r="80" spans="1:3" ht="19.5" customHeight="1">
      <c r="A80" s="491"/>
      <c r="B80" s="492" t="s">
        <v>765</v>
      </c>
      <c r="C80" s="502">
        <v>9943617.4</v>
      </c>
    </row>
    <row r="81" spans="1:3" ht="19.5" customHeight="1">
      <c r="A81" s="491"/>
      <c r="B81" s="492" t="s">
        <v>766</v>
      </c>
      <c r="C81" s="502">
        <v>8255000</v>
      </c>
    </row>
    <row r="82" spans="1:3" ht="19.5" customHeight="1">
      <c r="A82" s="491"/>
      <c r="B82" s="492" t="s">
        <v>767</v>
      </c>
      <c r="C82" s="502">
        <v>31750000</v>
      </c>
    </row>
    <row r="83" spans="1:3" ht="19.5" customHeight="1">
      <c r="A83" s="491"/>
      <c r="B83" s="492" t="s">
        <v>768</v>
      </c>
      <c r="C83" s="502">
        <v>2032000</v>
      </c>
    </row>
    <row r="84" spans="1:3" ht="19.5" customHeight="1">
      <c r="A84" s="491"/>
      <c r="B84" s="492" t="s">
        <v>769</v>
      </c>
      <c r="C84" s="502">
        <v>2540000</v>
      </c>
    </row>
    <row r="85" spans="1:3" ht="19.5" customHeight="1">
      <c r="A85" s="491"/>
      <c r="B85" s="518"/>
      <c r="C85" s="488"/>
    </row>
    <row r="86" spans="1:3" ht="19.5" customHeight="1">
      <c r="A86" s="482" t="s">
        <v>775</v>
      </c>
      <c r="B86" s="517" t="s">
        <v>67</v>
      </c>
      <c r="C86" s="488"/>
    </row>
    <row r="87" spans="1:3" ht="19.5" customHeight="1">
      <c r="A87" s="491"/>
      <c r="B87" s="518" t="s">
        <v>776</v>
      </c>
      <c r="C87" s="488"/>
    </row>
    <row r="88" spans="1:3" ht="19.5" customHeight="1">
      <c r="A88" s="491"/>
      <c r="B88" s="492" t="s">
        <v>781</v>
      </c>
      <c r="C88" s="488">
        <v>33528000</v>
      </c>
    </row>
    <row r="89" spans="1:3" ht="19.5" customHeight="1">
      <c r="A89" s="491"/>
      <c r="B89" s="497" t="s">
        <v>782</v>
      </c>
      <c r="C89" s="488">
        <v>5080000</v>
      </c>
    </row>
    <row r="90" spans="1:3" ht="19.5" customHeight="1">
      <c r="A90" s="491"/>
      <c r="B90" s="497" t="s">
        <v>780</v>
      </c>
      <c r="C90" s="488">
        <v>101600</v>
      </c>
    </row>
    <row r="91" spans="1:3" ht="19.5" customHeight="1">
      <c r="A91" s="491"/>
      <c r="B91" s="518"/>
      <c r="C91" s="488"/>
    </row>
    <row r="92" spans="1:3" ht="19.5" customHeight="1">
      <c r="A92" s="491"/>
      <c r="B92" s="518" t="s">
        <v>777</v>
      </c>
      <c r="C92" s="488"/>
    </row>
    <row r="93" spans="1:3" ht="19.5" customHeight="1">
      <c r="A93" s="491"/>
      <c r="B93" s="503" t="s">
        <v>822</v>
      </c>
      <c r="C93" s="488">
        <v>25000001</v>
      </c>
    </row>
    <row r="94" spans="1:3" ht="19.5" customHeight="1">
      <c r="A94" s="491"/>
      <c r="B94" s="497" t="s">
        <v>779</v>
      </c>
      <c r="C94" s="488">
        <v>50000000</v>
      </c>
    </row>
    <row r="95" spans="1:3" ht="19.5" customHeight="1">
      <c r="A95" s="491"/>
      <c r="B95" s="492" t="s">
        <v>823</v>
      </c>
      <c r="C95" s="488">
        <v>1055329</v>
      </c>
    </row>
    <row r="96" spans="1:3" ht="19.5" customHeight="1">
      <c r="A96" s="491"/>
      <c r="B96" s="503" t="s">
        <v>824</v>
      </c>
      <c r="C96" s="488">
        <v>657796</v>
      </c>
    </row>
    <row r="97" spans="1:3" ht="19.5" customHeight="1">
      <c r="A97" s="491"/>
      <c r="B97" s="503"/>
      <c r="C97" s="488"/>
    </row>
    <row r="98" spans="1:5" ht="19.5" customHeight="1">
      <c r="A98" s="487" t="s">
        <v>31</v>
      </c>
      <c r="B98" s="516" t="s">
        <v>460</v>
      </c>
      <c r="C98" s="488"/>
      <c r="D98" s="489"/>
      <c r="E98" s="469"/>
    </row>
    <row r="99" spans="1:5" ht="19.5" customHeight="1">
      <c r="A99" s="487"/>
      <c r="B99" s="503" t="s">
        <v>627</v>
      </c>
      <c r="C99" s="488">
        <v>577905040</v>
      </c>
      <c r="D99" s="489"/>
      <c r="E99" s="469"/>
    </row>
    <row r="100" spans="1:5" ht="19.5" customHeight="1">
      <c r="A100" s="487"/>
      <c r="B100" s="503" t="s">
        <v>787</v>
      </c>
      <c r="C100" s="488">
        <v>33020000</v>
      </c>
      <c r="D100" s="489"/>
      <c r="E100" s="469"/>
    </row>
    <row r="101" spans="1:5" ht="19.5" customHeight="1">
      <c r="A101" s="487"/>
      <c r="B101" s="492" t="s">
        <v>788</v>
      </c>
      <c r="C101" s="488">
        <v>70485000</v>
      </c>
      <c r="D101" s="489"/>
      <c r="E101" s="469"/>
    </row>
    <row r="102" spans="1:5" ht="19.5" customHeight="1">
      <c r="A102" s="487"/>
      <c r="B102" s="503" t="s">
        <v>789</v>
      </c>
      <c r="C102" s="488">
        <v>38000000</v>
      </c>
      <c r="D102" s="489"/>
      <c r="E102" s="469"/>
    </row>
    <row r="103" spans="1:5" ht="19.5" customHeight="1">
      <c r="A103" s="487"/>
      <c r="B103" s="503" t="s">
        <v>783</v>
      </c>
      <c r="C103" s="488">
        <v>17108190</v>
      </c>
      <c r="D103" s="489"/>
      <c r="E103" s="469"/>
    </row>
    <row r="104" spans="1:5" ht="19.5" customHeight="1">
      <c r="A104" s="487"/>
      <c r="B104" s="492" t="s">
        <v>825</v>
      </c>
      <c r="C104" s="488">
        <v>1086485</v>
      </c>
      <c r="D104" s="489"/>
      <c r="E104" s="469"/>
    </row>
    <row r="105" spans="1:5" ht="19.5" customHeight="1">
      <c r="A105" s="487"/>
      <c r="B105" s="492" t="s">
        <v>784</v>
      </c>
      <c r="C105" s="488">
        <v>2011478</v>
      </c>
      <c r="D105" s="489"/>
      <c r="E105" s="469"/>
    </row>
    <row r="106" spans="1:5" ht="19.5" customHeight="1">
      <c r="A106" s="487"/>
      <c r="B106" s="503" t="s">
        <v>785</v>
      </c>
      <c r="C106" s="488">
        <v>10825500</v>
      </c>
      <c r="D106" s="489"/>
      <c r="E106" s="469"/>
    </row>
    <row r="107" spans="1:5" ht="19.5" customHeight="1">
      <c r="A107" s="487"/>
      <c r="B107" s="503" t="s">
        <v>786</v>
      </c>
      <c r="C107" s="488">
        <v>1239787</v>
      </c>
      <c r="D107" s="489"/>
      <c r="E107" s="469"/>
    </row>
    <row r="108" spans="1:5" ht="19.5" customHeight="1">
      <c r="A108" s="487"/>
      <c r="B108" s="516"/>
      <c r="C108" s="488"/>
      <c r="D108" s="489"/>
      <c r="E108" s="469"/>
    </row>
    <row r="109" spans="1:5" ht="19.5" customHeight="1">
      <c r="A109" s="487" t="s">
        <v>32</v>
      </c>
      <c r="B109" s="516" t="s">
        <v>197</v>
      </c>
      <c r="C109" s="488"/>
      <c r="D109" s="489"/>
      <c r="E109" s="469"/>
    </row>
    <row r="110" spans="1:5" ht="19.5" customHeight="1">
      <c r="A110" s="487"/>
      <c r="B110" s="503" t="s">
        <v>260</v>
      </c>
      <c r="C110" s="488">
        <v>43553939</v>
      </c>
      <c r="D110" s="489"/>
      <c r="E110" s="469"/>
    </row>
    <row r="111" spans="1:3" ht="19.5" customHeight="1">
      <c r="A111" s="487"/>
      <c r="B111" s="503"/>
      <c r="C111" s="488"/>
    </row>
    <row r="112" spans="1:3" ht="19.5" customHeight="1">
      <c r="A112" s="487" t="s">
        <v>800</v>
      </c>
      <c r="B112" s="517" t="s">
        <v>68</v>
      </c>
      <c r="C112" s="488"/>
    </row>
    <row r="113" spans="1:3" ht="19.5" customHeight="1">
      <c r="A113" s="487"/>
      <c r="B113" s="503" t="s">
        <v>801</v>
      </c>
      <c r="C113" s="488">
        <v>58028000</v>
      </c>
    </row>
    <row r="114" spans="1:3" ht="19.5" customHeight="1">
      <c r="A114" s="487"/>
      <c r="B114" s="503"/>
      <c r="C114" s="488"/>
    </row>
    <row r="115" spans="1:3" ht="19.5" customHeight="1">
      <c r="A115" s="482" t="s">
        <v>261</v>
      </c>
      <c r="B115" s="481" t="s">
        <v>69</v>
      </c>
      <c r="C115" s="488"/>
    </row>
    <row r="116" spans="1:3" ht="19.5" customHeight="1">
      <c r="A116" s="482"/>
      <c r="B116" s="497" t="s">
        <v>778</v>
      </c>
      <c r="C116" s="488">
        <v>2286000</v>
      </c>
    </row>
    <row r="117" spans="1:3" ht="19.5" customHeight="1">
      <c r="A117" s="482"/>
      <c r="B117" s="503" t="s">
        <v>792</v>
      </c>
      <c r="C117" s="488">
        <v>34290000</v>
      </c>
    </row>
    <row r="118" spans="1:3" ht="19.5" customHeight="1">
      <c r="A118" s="482"/>
      <c r="B118" s="497" t="s">
        <v>790</v>
      </c>
      <c r="C118" s="488">
        <v>48252876.57</v>
      </c>
    </row>
    <row r="119" spans="1:3" ht="19.5" customHeight="1">
      <c r="A119" s="487"/>
      <c r="B119" s="492" t="s">
        <v>791</v>
      </c>
      <c r="C119" s="488">
        <f>5000000+2540000</f>
        <v>7540000</v>
      </c>
    </row>
    <row r="120" spans="1:3" ht="19.5" customHeight="1">
      <c r="A120" s="491"/>
      <c r="B120" s="492" t="s">
        <v>772</v>
      </c>
      <c r="C120" s="488">
        <v>2032000</v>
      </c>
    </row>
    <row r="121" spans="1:3" ht="19.5" customHeight="1" thickBot="1">
      <c r="A121" s="487"/>
      <c r="B121" s="503"/>
      <c r="C121" s="488"/>
    </row>
    <row r="122" spans="1:3" ht="19.5" customHeight="1" thickBot="1" thickTop="1">
      <c r="A122" s="504"/>
      <c r="B122" s="519" t="s">
        <v>461</v>
      </c>
      <c r="C122" s="505">
        <f>SUM(C9:C121)</f>
        <v>2118383102.3449998</v>
      </c>
    </row>
    <row r="123" spans="1:3" ht="15.75" thickTop="1">
      <c r="A123" s="506"/>
      <c r="B123" s="520"/>
      <c r="C123" s="507"/>
    </row>
    <row r="124" spans="1:3" ht="15">
      <c r="A124" s="482" t="s">
        <v>70</v>
      </c>
      <c r="B124" s="521" t="s">
        <v>71</v>
      </c>
      <c r="C124" s="488"/>
    </row>
    <row r="125" spans="1:3" ht="15">
      <c r="A125" s="482"/>
      <c r="B125" s="521"/>
      <c r="C125" s="488"/>
    </row>
    <row r="126" spans="1:3" ht="19.5" customHeight="1">
      <c r="A126" s="482" t="s">
        <v>14</v>
      </c>
      <c r="B126" s="481" t="s">
        <v>15</v>
      </c>
      <c r="C126" s="488"/>
    </row>
    <row r="127" spans="1:3" ht="19.5" customHeight="1">
      <c r="A127" s="487" t="s">
        <v>25</v>
      </c>
      <c r="B127" s="516" t="s">
        <v>66</v>
      </c>
      <c r="C127" s="488"/>
    </row>
    <row r="128" spans="1:3" ht="19.5" customHeight="1">
      <c r="A128" s="487"/>
      <c r="B128" s="492" t="s">
        <v>793</v>
      </c>
      <c r="C128" s="488">
        <v>6637020</v>
      </c>
    </row>
    <row r="129" spans="1:3" ht="19.5" customHeight="1">
      <c r="A129" s="487"/>
      <c r="B129" s="492" t="s">
        <v>826</v>
      </c>
      <c r="C129" s="488">
        <v>14821317</v>
      </c>
    </row>
    <row r="130" spans="1:3" ht="19.5" customHeight="1">
      <c r="A130" s="487"/>
      <c r="B130" s="492" t="s">
        <v>794</v>
      </c>
      <c r="C130" s="488">
        <v>27900000</v>
      </c>
    </row>
    <row r="131" spans="1:3" ht="19.5" customHeight="1">
      <c r="A131" s="487"/>
      <c r="B131" s="503" t="s">
        <v>795</v>
      </c>
      <c r="C131" s="488">
        <v>5236472</v>
      </c>
    </row>
    <row r="132" spans="1:3" ht="19.5" customHeight="1">
      <c r="A132" s="487"/>
      <c r="B132" s="503" t="s">
        <v>797</v>
      </c>
      <c r="C132" s="488">
        <v>508000</v>
      </c>
    </row>
    <row r="133" spans="1:3" ht="19.5" customHeight="1">
      <c r="A133" s="487" t="s">
        <v>27</v>
      </c>
      <c r="B133" s="516" t="s">
        <v>72</v>
      </c>
      <c r="C133" s="488"/>
    </row>
    <row r="134" spans="1:3" ht="19.5" customHeight="1">
      <c r="A134" s="487"/>
      <c r="B134" s="503" t="s">
        <v>73</v>
      </c>
      <c r="C134" s="488">
        <f>63851227-23300000</f>
        <v>40551227</v>
      </c>
    </row>
    <row r="135" spans="1:3" ht="19.5" customHeight="1">
      <c r="A135" s="487"/>
      <c r="B135" s="503" t="s">
        <v>796</v>
      </c>
      <c r="C135" s="488">
        <v>8041622</v>
      </c>
    </row>
    <row r="136" spans="1:3" ht="19.5" customHeight="1">
      <c r="A136" s="508"/>
      <c r="B136" s="522" t="s">
        <v>798</v>
      </c>
      <c r="C136" s="509">
        <v>430000</v>
      </c>
    </row>
    <row r="137" spans="1:3" ht="19.5" customHeight="1">
      <c r="A137" s="510"/>
      <c r="B137" s="503" t="s">
        <v>828</v>
      </c>
      <c r="C137" s="488">
        <v>631039</v>
      </c>
    </row>
    <row r="138" spans="1:3" ht="19.5" customHeight="1">
      <c r="A138" s="510"/>
      <c r="B138" s="503" t="s">
        <v>827</v>
      </c>
      <c r="C138" s="488">
        <v>9779000</v>
      </c>
    </row>
    <row r="139" spans="1:3" ht="19.5" customHeight="1">
      <c r="A139" s="510"/>
      <c r="B139" s="503"/>
      <c r="C139" s="488"/>
    </row>
    <row r="140" spans="1:3" ht="19.5" customHeight="1">
      <c r="A140" s="511" t="s">
        <v>261</v>
      </c>
      <c r="B140" s="481" t="s">
        <v>69</v>
      </c>
      <c r="C140" s="488"/>
    </row>
    <row r="141" spans="1:3" ht="19.5" customHeight="1" thickBot="1">
      <c r="A141" s="512"/>
      <c r="B141" s="523" t="s">
        <v>799</v>
      </c>
      <c r="C141" s="513">
        <v>135648096.75</v>
      </c>
    </row>
    <row r="142" spans="1:3" ht="19.5" customHeight="1" thickBot="1" thickTop="1">
      <c r="A142" s="504"/>
      <c r="B142" s="519" t="s">
        <v>448</v>
      </c>
      <c r="C142" s="505">
        <f>SUM(C128:C141)</f>
        <v>250183793.75</v>
      </c>
    </row>
    <row r="143" ht="19.5" customHeight="1" thickTop="1"/>
    <row r="144" ht="19.5" customHeight="1"/>
    <row r="145" ht="19.5" customHeight="1"/>
    <row r="146" ht="19.5" customHeight="1"/>
  </sheetData>
  <sheetProtection/>
  <mergeCells count="2">
    <mergeCell ref="A3:C3"/>
    <mergeCell ref="A4:C4"/>
  </mergeCells>
  <printOptions horizontalCentered="1"/>
  <pageMargins left="0.1968503937007874" right="0" top="0.35433070866141736" bottom="0.3937007874015748" header="0.2362204724409449" footer="0.15748031496062992"/>
  <pageSetup horizontalDpi="600" verticalDpi="600" orientation="portrait" paperSize="9" scale="80" r:id="rId1"/>
  <headerFooter alignWithMargins="0">
    <oddFooter>&amp;C&amp;P. oldal, összesen: &amp;N</oddFooter>
  </headerFooter>
  <rowBreaks count="2" manualBreakCount="2">
    <brk id="50" max="2" man="1"/>
    <brk id="97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3"/>
  <sheetViews>
    <sheetView workbookViewId="0" topLeftCell="A37">
      <selection activeCell="B53" sqref="B53"/>
    </sheetView>
  </sheetViews>
  <sheetFormatPr defaultColWidth="9.00390625" defaultRowHeight="12.75"/>
  <cols>
    <col min="1" max="1" width="46.625" style="148" customWidth="1"/>
    <col min="2" max="2" width="10.75390625" style="148" customWidth="1"/>
    <col min="3" max="3" width="11.00390625" style="148" customWidth="1"/>
    <col min="4" max="4" width="10.625" style="148" customWidth="1"/>
    <col min="5" max="5" width="10.00390625" style="148" customWidth="1"/>
    <col min="6" max="9" width="12.125" style="148" customWidth="1"/>
    <col min="10" max="16384" width="9.125" style="148" customWidth="1"/>
  </cols>
  <sheetData>
    <row r="1" spans="1:9" ht="15.75">
      <c r="A1" s="148" t="s">
        <v>0</v>
      </c>
      <c r="I1" s="152" t="s">
        <v>579</v>
      </c>
    </row>
    <row r="3" spans="1:9" ht="15.75">
      <c r="A3" s="801" t="s">
        <v>650</v>
      </c>
      <c r="B3" s="801"/>
      <c r="C3" s="801"/>
      <c r="D3" s="801"/>
      <c r="E3" s="801"/>
      <c r="F3" s="801"/>
      <c r="G3" s="801"/>
      <c r="H3" s="801"/>
      <c r="I3" s="801"/>
    </row>
    <row r="4" ht="16.5" thickBot="1"/>
    <row r="5" spans="1:9" ht="60" customHeight="1" thickTop="1">
      <c r="A5" s="798" t="s">
        <v>139</v>
      </c>
      <c r="B5" s="800" t="s">
        <v>651</v>
      </c>
      <c r="C5" s="800"/>
      <c r="D5" s="800"/>
      <c r="E5" s="800"/>
      <c r="F5" s="800" t="s">
        <v>652</v>
      </c>
      <c r="G5" s="800"/>
      <c r="H5" s="800"/>
      <c r="I5" s="802"/>
    </row>
    <row r="6" spans="1:9" ht="19.5" customHeight="1">
      <c r="A6" s="799"/>
      <c r="B6" s="803" t="s">
        <v>140</v>
      </c>
      <c r="C6" s="789" t="s">
        <v>141</v>
      </c>
      <c r="D6" s="789"/>
      <c r="E6" s="803" t="s">
        <v>142</v>
      </c>
      <c r="F6" s="803" t="s">
        <v>143</v>
      </c>
      <c r="G6" s="789" t="s">
        <v>141</v>
      </c>
      <c r="H6" s="789"/>
      <c r="I6" s="804" t="s">
        <v>34</v>
      </c>
    </row>
    <row r="7" spans="1:9" ht="19.5" customHeight="1">
      <c r="A7" s="799"/>
      <c r="B7" s="803"/>
      <c r="C7" s="789" t="s">
        <v>144</v>
      </c>
      <c r="D7" s="789" t="s">
        <v>145</v>
      </c>
      <c r="E7" s="803"/>
      <c r="F7" s="803"/>
      <c r="G7" s="789" t="s">
        <v>144</v>
      </c>
      <c r="H7" s="789" t="s">
        <v>145</v>
      </c>
      <c r="I7" s="804"/>
    </row>
    <row r="8" spans="1:9" ht="39" customHeight="1">
      <c r="A8" s="799"/>
      <c r="B8" s="803"/>
      <c r="C8" s="789"/>
      <c r="D8" s="789"/>
      <c r="E8" s="803"/>
      <c r="F8" s="803"/>
      <c r="G8" s="789"/>
      <c r="H8" s="789"/>
      <c r="I8" s="804"/>
    </row>
    <row r="9" spans="1:9" s="149" customFormat="1" ht="19.5" customHeight="1">
      <c r="A9" s="790" t="s">
        <v>146</v>
      </c>
      <c r="B9" s="791"/>
      <c r="C9" s="791"/>
      <c r="D9" s="791"/>
      <c r="E9" s="791"/>
      <c r="F9" s="792"/>
      <c r="G9" s="792"/>
      <c r="H9" s="792"/>
      <c r="I9" s="793"/>
    </row>
    <row r="10" spans="1:9" s="149" customFormat="1" ht="19.5" customHeight="1">
      <c r="A10" s="364" t="s">
        <v>147</v>
      </c>
      <c r="B10" s="370">
        <v>1</v>
      </c>
      <c r="C10" s="208">
        <v>0</v>
      </c>
      <c r="D10" s="208">
        <v>0</v>
      </c>
      <c r="E10" s="372">
        <f aca="true" t="shared" si="0" ref="E10:E15">SUM(B10:D10)</f>
        <v>1</v>
      </c>
      <c r="F10" s="370">
        <v>1</v>
      </c>
      <c r="G10" s="208">
        <v>0</v>
      </c>
      <c r="H10" s="208">
        <v>0</v>
      </c>
      <c r="I10" s="373">
        <f aca="true" t="shared" si="1" ref="I10:I15">SUM(F10:H10)</f>
        <v>1</v>
      </c>
    </row>
    <row r="11" spans="1:9" s="149" customFormat="1" ht="19.5" customHeight="1">
      <c r="A11" s="364" t="s">
        <v>148</v>
      </c>
      <c r="B11" s="370">
        <v>2</v>
      </c>
      <c r="C11" s="208">
        <v>0</v>
      </c>
      <c r="D11" s="208">
        <v>0</v>
      </c>
      <c r="E11" s="372">
        <f t="shared" si="0"/>
        <v>2</v>
      </c>
      <c r="F11" s="370">
        <v>2</v>
      </c>
      <c r="G11" s="208">
        <v>0</v>
      </c>
      <c r="H11" s="208">
        <v>0</v>
      </c>
      <c r="I11" s="373">
        <f t="shared" si="1"/>
        <v>2</v>
      </c>
    </row>
    <row r="12" spans="1:9" s="149" customFormat="1" ht="19.5" customHeight="1">
      <c r="A12" s="364" t="s">
        <v>265</v>
      </c>
      <c r="B12" s="370">
        <v>1</v>
      </c>
      <c r="C12" s="208">
        <v>0</v>
      </c>
      <c r="D12" s="208">
        <v>0</v>
      </c>
      <c r="E12" s="372">
        <f t="shared" si="0"/>
        <v>1</v>
      </c>
      <c r="F12" s="370">
        <v>1</v>
      </c>
      <c r="G12" s="208">
        <v>0</v>
      </c>
      <c r="H12" s="208">
        <v>0</v>
      </c>
      <c r="I12" s="373">
        <f t="shared" si="1"/>
        <v>1</v>
      </c>
    </row>
    <row r="13" spans="1:9" s="149" customFormat="1" ht="19.5" customHeight="1">
      <c r="A13" s="364" t="s">
        <v>149</v>
      </c>
      <c r="B13" s="370">
        <v>1</v>
      </c>
      <c r="C13" s="208">
        <v>0</v>
      </c>
      <c r="D13" s="208">
        <v>0</v>
      </c>
      <c r="E13" s="372">
        <f t="shared" si="0"/>
        <v>1</v>
      </c>
      <c r="F13" s="370">
        <v>1</v>
      </c>
      <c r="G13" s="208">
        <v>0</v>
      </c>
      <c r="H13" s="208">
        <v>0</v>
      </c>
      <c r="I13" s="373">
        <f t="shared" si="1"/>
        <v>1</v>
      </c>
    </row>
    <row r="14" spans="1:9" s="149" customFormat="1" ht="19.5" customHeight="1">
      <c r="A14" s="364" t="s">
        <v>433</v>
      </c>
      <c r="B14" s="370">
        <v>6</v>
      </c>
      <c r="C14" s="208">
        <v>0</v>
      </c>
      <c r="D14" s="372">
        <v>2</v>
      </c>
      <c r="E14" s="372">
        <f t="shared" si="0"/>
        <v>8</v>
      </c>
      <c r="F14" s="370">
        <v>5</v>
      </c>
      <c r="G14" s="430">
        <v>1</v>
      </c>
      <c r="H14" s="208">
        <v>0</v>
      </c>
      <c r="I14" s="373">
        <f t="shared" si="1"/>
        <v>6</v>
      </c>
    </row>
    <row r="15" spans="1:9" s="149" customFormat="1" ht="19.5" customHeight="1">
      <c r="A15" s="364" t="s">
        <v>449</v>
      </c>
      <c r="B15" s="370">
        <v>6</v>
      </c>
      <c r="C15" s="208">
        <v>0</v>
      </c>
      <c r="D15" s="372"/>
      <c r="E15" s="372">
        <f t="shared" si="0"/>
        <v>6</v>
      </c>
      <c r="F15" s="370">
        <v>5</v>
      </c>
      <c r="G15" s="428">
        <v>0</v>
      </c>
      <c r="H15" s="208">
        <v>0</v>
      </c>
      <c r="I15" s="373">
        <f t="shared" si="1"/>
        <v>5</v>
      </c>
    </row>
    <row r="16" spans="1:9" s="149" customFormat="1" ht="19.5" customHeight="1">
      <c r="A16" s="388" t="s">
        <v>245</v>
      </c>
      <c r="B16" s="382">
        <f>SUM(B10:B15)</f>
        <v>17</v>
      </c>
      <c r="C16" s="383">
        <f aca="true" t="shared" si="2" ref="C16:I16">SUM(C10:C15)</f>
        <v>0</v>
      </c>
      <c r="D16" s="382">
        <f t="shared" si="2"/>
        <v>2</v>
      </c>
      <c r="E16" s="382">
        <f t="shared" si="2"/>
        <v>19</v>
      </c>
      <c r="F16" s="382">
        <f t="shared" si="2"/>
        <v>15</v>
      </c>
      <c r="G16" s="431">
        <f t="shared" si="2"/>
        <v>1</v>
      </c>
      <c r="H16" s="384">
        <f t="shared" si="2"/>
        <v>0</v>
      </c>
      <c r="I16" s="385">
        <f t="shared" si="2"/>
        <v>16</v>
      </c>
    </row>
    <row r="17" spans="1:9" s="149" customFormat="1" ht="19.5" customHeight="1">
      <c r="A17" s="388" t="s">
        <v>384</v>
      </c>
      <c r="B17" s="386"/>
      <c r="C17" s="386"/>
      <c r="D17" s="386"/>
      <c r="E17" s="386"/>
      <c r="F17" s="386"/>
      <c r="G17" s="386"/>
      <c r="H17" s="386"/>
      <c r="I17" s="387"/>
    </row>
    <row r="18" spans="1:9" s="149" customFormat="1" ht="19.5" customHeight="1">
      <c r="A18" s="364" t="s">
        <v>150</v>
      </c>
      <c r="B18" s="370">
        <v>1</v>
      </c>
      <c r="C18" s="208">
        <v>0</v>
      </c>
      <c r="D18" s="208">
        <v>0</v>
      </c>
      <c r="E18" s="372">
        <f>SUM(B18:D18)</f>
        <v>1</v>
      </c>
      <c r="F18" s="370">
        <v>1</v>
      </c>
      <c r="G18" s="208">
        <v>0</v>
      </c>
      <c r="H18" s="208">
        <v>0</v>
      </c>
      <c r="I18" s="373">
        <f>SUM(F18:H18)</f>
        <v>1</v>
      </c>
    </row>
    <row r="19" spans="1:9" s="149" customFormat="1" ht="19.5" customHeight="1">
      <c r="A19" s="364" t="s">
        <v>151</v>
      </c>
      <c r="B19" s="370">
        <v>1</v>
      </c>
      <c r="C19" s="208">
        <v>0</v>
      </c>
      <c r="D19" s="208">
        <v>0</v>
      </c>
      <c r="E19" s="372">
        <f>SUM(B19:D19)</f>
        <v>1</v>
      </c>
      <c r="F19" s="370">
        <v>1</v>
      </c>
      <c r="G19" s="208">
        <v>0</v>
      </c>
      <c r="H19" s="208">
        <v>0</v>
      </c>
      <c r="I19" s="373">
        <f>SUM(F19:H19)</f>
        <v>1</v>
      </c>
    </row>
    <row r="20" spans="1:9" s="149" customFormat="1" ht="19.5" customHeight="1">
      <c r="A20" s="364" t="s">
        <v>152</v>
      </c>
      <c r="B20" s="370">
        <v>81</v>
      </c>
      <c r="C20" s="372">
        <v>2</v>
      </c>
      <c r="D20" s="372">
        <v>1</v>
      </c>
      <c r="E20" s="372">
        <f>SUM(B20:D20)</f>
        <v>84</v>
      </c>
      <c r="F20" s="370">
        <v>68</v>
      </c>
      <c r="G20" s="208">
        <v>0</v>
      </c>
      <c r="H20" s="208">
        <v>0</v>
      </c>
      <c r="I20" s="373">
        <f>SUM(F20:H20)</f>
        <v>68</v>
      </c>
    </row>
    <row r="21" spans="1:9" s="149" customFormat="1" ht="19.5" customHeight="1">
      <c r="A21" s="364" t="s">
        <v>153</v>
      </c>
      <c r="B21" s="208">
        <v>0</v>
      </c>
      <c r="C21" s="208">
        <v>0</v>
      </c>
      <c r="D21" s="208">
        <v>0</v>
      </c>
      <c r="E21" s="208">
        <f>SUM(B21:D21)</f>
        <v>0</v>
      </c>
      <c r="F21" s="208">
        <v>0</v>
      </c>
      <c r="G21" s="208">
        <v>0</v>
      </c>
      <c r="H21" s="208">
        <v>0</v>
      </c>
      <c r="I21" s="374">
        <f>SUM(F21:H21)</f>
        <v>0</v>
      </c>
    </row>
    <row r="22" spans="1:9" s="149" customFormat="1" ht="19.5" customHeight="1">
      <c r="A22" s="364" t="s">
        <v>154</v>
      </c>
      <c r="B22" s="372">
        <v>2</v>
      </c>
      <c r="C22" s="208">
        <v>0</v>
      </c>
      <c r="D22" s="208">
        <v>0</v>
      </c>
      <c r="E22" s="372">
        <f>SUM(B22:D22)</f>
        <v>2</v>
      </c>
      <c r="F22" s="372">
        <v>2</v>
      </c>
      <c r="G22" s="208">
        <v>0</v>
      </c>
      <c r="H22" s="208">
        <v>0</v>
      </c>
      <c r="I22" s="373">
        <f>SUM(F22:H22)</f>
        <v>2</v>
      </c>
    </row>
    <row r="23" spans="1:9" s="149" customFormat="1" ht="19.5" customHeight="1">
      <c r="A23" s="388" t="s">
        <v>245</v>
      </c>
      <c r="B23" s="382">
        <f>SUM(B18:B22)</f>
        <v>85</v>
      </c>
      <c r="C23" s="382">
        <f aca="true" t="shared" si="3" ref="C23:I23">SUM(C18:C22)</f>
        <v>2</v>
      </c>
      <c r="D23" s="382">
        <f t="shared" si="3"/>
        <v>1</v>
      </c>
      <c r="E23" s="382">
        <f t="shared" si="3"/>
        <v>88</v>
      </c>
      <c r="F23" s="382">
        <f t="shared" si="3"/>
        <v>72</v>
      </c>
      <c r="G23" s="384">
        <f t="shared" si="3"/>
        <v>0</v>
      </c>
      <c r="H23" s="384">
        <f t="shared" si="3"/>
        <v>0</v>
      </c>
      <c r="I23" s="385">
        <f t="shared" si="3"/>
        <v>72</v>
      </c>
    </row>
    <row r="24" spans="1:9" s="149" customFormat="1" ht="19.5" customHeight="1">
      <c r="A24" s="794" t="s">
        <v>383</v>
      </c>
      <c r="B24" s="795"/>
      <c r="C24" s="795"/>
      <c r="D24" s="795"/>
      <c r="E24" s="795"/>
      <c r="F24" s="796"/>
      <c r="G24" s="796"/>
      <c r="H24" s="796"/>
      <c r="I24" s="797"/>
    </row>
    <row r="25" spans="1:10" s="149" customFormat="1" ht="19.5" customHeight="1">
      <c r="A25" s="389" t="s">
        <v>155</v>
      </c>
      <c r="B25" s="390">
        <f>B26+B27+B28+B30+B31+B35+B32+B33+B34+B36+B45+B29</f>
        <v>301</v>
      </c>
      <c r="C25" s="391">
        <f aca="true" t="shared" si="4" ref="C25:H25">C26+C27+C28+C30+C31+C35+C32+C33+C34+C36+C45+C29</f>
        <v>0</v>
      </c>
      <c r="D25" s="390">
        <f>D26+D27+D28+D30+D31+D35+D32+D33+D34+D36+D45+D29</f>
        <v>2</v>
      </c>
      <c r="E25" s="390">
        <f>E26+E27+E28+E30+E31+E35+E32+E33+E34+E36+E45+E29</f>
        <v>303</v>
      </c>
      <c r="F25" s="390">
        <f t="shared" si="4"/>
        <v>264</v>
      </c>
      <c r="G25" s="390">
        <f t="shared" si="4"/>
        <v>3</v>
      </c>
      <c r="H25" s="390">
        <f t="shared" si="4"/>
        <v>6</v>
      </c>
      <c r="I25" s="392">
        <f>I26+I27+I28+I30+I31+I35+I32+I33+I34+I36+I45+I29</f>
        <v>273</v>
      </c>
      <c r="J25" s="151"/>
    </row>
    <row r="26" spans="1:11" s="149" customFormat="1" ht="19.5" customHeight="1">
      <c r="A26" s="365" t="s">
        <v>156</v>
      </c>
      <c r="B26" s="375">
        <v>5</v>
      </c>
      <c r="C26" s="208">
        <v>0</v>
      </c>
      <c r="D26" s="375">
        <v>0.5</v>
      </c>
      <c r="E26" s="375">
        <f aca="true" t="shared" si="5" ref="E26:E35">SUM(B26:D26)</f>
        <v>5.5</v>
      </c>
      <c r="F26" s="375">
        <v>4</v>
      </c>
      <c r="G26" s="208">
        <v>0</v>
      </c>
      <c r="H26" s="375">
        <v>1</v>
      </c>
      <c r="I26" s="376">
        <f>SUM(F26:H26)</f>
        <v>5</v>
      </c>
      <c r="K26" s="151"/>
    </row>
    <row r="27" spans="1:11" s="149" customFormat="1" ht="19.5" customHeight="1">
      <c r="A27" s="365" t="s">
        <v>157</v>
      </c>
      <c r="B27" s="375">
        <v>13</v>
      </c>
      <c r="C27" s="208">
        <v>0</v>
      </c>
      <c r="D27" s="208">
        <v>0</v>
      </c>
      <c r="E27" s="375">
        <f t="shared" si="5"/>
        <v>13</v>
      </c>
      <c r="F27" s="375">
        <v>9</v>
      </c>
      <c r="G27" s="375">
        <v>1</v>
      </c>
      <c r="H27" s="208">
        <v>0</v>
      </c>
      <c r="I27" s="376">
        <f aca="true" t="shared" si="6" ref="I27:I35">SUM(F27:H27)</f>
        <v>10</v>
      </c>
      <c r="K27" s="151"/>
    </row>
    <row r="28" spans="1:11" s="149" customFormat="1" ht="19.5" customHeight="1">
      <c r="A28" s="366" t="s">
        <v>158</v>
      </c>
      <c r="B28" s="375">
        <v>2</v>
      </c>
      <c r="C28" s="208">
        <v>0</v>
      </c>
      <c r="D28" s="208">
        <v>0</v>
      </c>
      <c r="E28" s="375">
        <f t="shared" si="5"/>
        <v>2</v>
      </c>
      <c r="F28" s="371">
        <v>0</v>
      </c>
      <c r="G28" s="208">
        <v>0</v>
      </c>
      <c r="H28" s="208">
        <v>0</v>
      </c>
      <c r="I28" s="374">
        <f t="shared" si="6"/>
        <v>0</v>
      </c>
      <c r="K28" s="151"/>
    </row>
    <row r="29" spans="1:11" s="149" customFormat="1" ht="19.5" customHeight="1">
      <c r="A29" s="365" t="s">
        <v>266</v>
      </c>
      <c r="B29" s="375">
        <v>8</v>
      </c>
      <c r="C29" s="208">
        <v>0</v>
      </c>
      <c r="D29" s="208"/>
      <c r="E29" s="375">
        <f t="shared" si="5"/>
        <v>8</v>
      </c>
      <c r="F29" s="375">
        <v>7</v>
      </c>
      <c r="G29" s="208">
        <v>0</v>
      </c>
      <c r="H29" s="375">
        <v>1</v>
      </c>
      <c r="I29" s="376">
        <f t="shared" si="6"/>
        <v>8</v>
      </c>
      <c r="K29" s="151"/>
    </row>
    <row r="30" spans="1:12" s="149" customFormat="1" ht="19.5" customHeight="1">
      <c r="A30" s="365" t="s">
        <v>267</v>
      </c>
      <c r="B30" s="375">
        <v>22</v>
      </c>
      <c r="C30" s="208">
        <v>0</v>
      </c>
      <c r="D30" s="208">
        <v>0</v>
      </c>
      <c r="E30" s="375">
        <f t="shared" si="5"/>
        <v>22</v>
      </c>
      <c r="F30" s="375">
        <v>22</v>
      </c>
      <c r="G30" s="208">
        <v>0</v>
      </c>
      <c r="H30" s="208">
        <v>0</v>
      </c>
      <c r="I30" s="376">
        <f t="shared" si="6"/>
        <v>22</v>
      </c>
      <c r="K30" s="151"/>
      <c r="L30" s="211"/>
    </row>
    <row r="31" spans="1:11" s="149" customFormat="1" ht="19.5" customHeight="1">
      <c r="A31" s="365" t="s">
        <v>268</v>
      </c>
      <c r="B31" s="375">
        <v>13</v>
      </c>
      <c r="C31" s="208">
        <v>0</v>
      </c>
      <c r="D31" s="208">
        <v>0</v>
      </c>
      <c r="E31" s="375">
        <f t="shared" si="5"/>
        <v>13</v>
      </c>
      <c r="F31" s="375">
        <v>12</v>
      </c>
      <c r="G31" s="208">
        <v>0</v>
      </c>
      <c r="H31" s="208">
        <v>0</v>
      </c>
      <c r="I31" s="376">
        <f t="shared" si="6"/>
        <v>12</v>
      </c>
      <c r="K31" s="151"/>
    </row>
    <row r="32" spans="1:11" s="149" customFormat="1" ht="19.5" customHeight="1">
      <c r="A32" s="365" t="s">
        <v>159</v>
      </c>
      <c r="B32" s="375">
        <v>12</v>
      </c>
      <c r="C32" s="208">
        <v>0</v>
      </c>
      <c r="D32" s="375">
        <v>0.5</v>
      </c>
      <c r="E32" s="375">
        <f t="shared" si="5"/>
        <v>12.5</v>
      </c>
      <c r="F32" s="375">
        <v>12</v>
      </c>
      <c r="G32" s="208">
        <v>0</v>
      </c>
      <c r="H32" s="375">
        <v>1</v>
      </c>
      <c r="I32" s="376">
        <f t="shared" si="6"/>
        <v>13</v>
      </c>
      <c r="K32" s="151"/>
    </row>
    <row r="33" spans="1:11" s="149" customFormat="1" ht="36.75" customHeight="1">
      <c r="A33" s="367" t="s">
        <v>160</v>
      </c>
      <c r="B33" s="375">
        <v>12</v>
      </c>
      <c r="C33" s="208">
        <v>0</v>
      </c>
      <c r="D33" s="208">
        <v>0</v>
      </c>
      <c r="E33" s="375">
        <f t="shared" si="5"/>
        <v>12</v>
      </c>
      <c r="F33" s="375">
        <v>7</v>
      </c>
      <c r="G33" s="208">
        <v>0</v>
      </c>
      <c r="H33" s="208">
        <v>0</v>
      </c>
      <c r="I33" s="376">
        <f t="shared" si="6"/>
        <v>7</v>
      </c>
      <c r="K33" s="151"/>
    </row>
    <row r="34" spans="1:13" s="149" customFormat="1" ht="45.75" customHeight="1">
      <c r="A34" s="367" t="s">
        <v>161</v>
      </c>
      <c r="B34" s="375">
        <v>15</v>
      </c>
      <c r="C34" s="208">
        <v>0</v>
      </c>
      <c r="D34" s="208">
        <v>0</v>
      </c>
      <c r="E34" s="375">
        <f t="shared" si="5"/>
        <v>15</v>
      </c>
      <c r="F34" s="375">
        <v>9</v>
      </c>
      <c r="G34" s="375">
        <v>2</v>
      </c>
      <c r="H34" s="375">
        <v>1</v>
      </c>
      <c r="I34" s="376">
        <f t="shared" si="6"/>
        <v>12</v>
      </c>
      <c r="K34" s="151"/>
      <c r="L34" s="209"/>
      <c r="M34" s="209"/>
    </row>
    <row r="35" spans="1:11" s="149" customFormat="1" ht="33.75" customHeight="1">
      <c r="A35" s="367" t="s">
        <v>263</v>
      </c>
      <c r="B35" s="375">
        <v>12</v>
      </c>
      <c r="C35" s="208">
        <v>0</v>
      </c>
      <c r="D35" s="208">
        <v>0</v>
      </c>
      <c r="E35" s="375">
        <f t="shared" si="5"/>
        <v>12</v>
      </c>
      <c r="F35" s="375">
        <v>3</v>
      </c>
      <c r="G35" s="208">
        <v>0</v>
      </c>
      <c r="H35" s="375">
        <v>1</v>
      </c>
      <c r="I35" s="376">
        <f t="shared" si="6"/>
        <v>4</v>
      </c>
      <c r="K35" s="151"/>
    </row>
    <row r="36" spans="1:11" s="149" customFormat="1" ht="19.5" customHeight="1">
      <c r="A36" s="369" t="s">
        <v>162</v>
      </c>
      <c r="B36" s="377">
        <f aca="true" t="shared" si="7" ref="B36:I36">SUM(B37:B44)</f>
        <v>176</v>
      </c>
      <c r="C36" s="429">
        <f t="shared" si="7"/>
        <v>0</v>
      </c>
      <c r="D36" s="377">
        <f t="shared" si="7"/>
        <v>1</v>
      </c>
      <c r="E36" s="377">
        <f t="shared" si="7"/>
        <v>177</v>
      </c>
      <c r="F36" s="377">
        <f t="shared" si="7"/>
        <v>168</v>
      </c>
      <c r="G36" s="210">
        <f t="shared" si="7"/>
        <v>0</v>
      </c>
      <c r="H36" s="377">
        <f t="shared" si="7"/>
        <v>1</v>
      </c>
      <c r="I36" s="378">
        <f t="shared" si="7"/>
        <v>169</v>
      </c>
      <c r="K36" s="151"/>
    </row>
    <row r="37" spans="1:11" s="149" customFormat="1" ht="19.5" customHeight="1">
      <c r="A37" s="365" t="s">
        <v>163</v>
      </c>
      <c r="B37" s="379">
        <v>30</v>
      </c>
      <c r="C37" s="208">
        <v>0</v>
      </c>
      <c r="D37" s="375">
        <v>0.5</v>
      </c>
      <c r="E37" s="375">
        <f>SUM(B37:D37)</f>
        <v>30.5</v>
      </c>
      <c r="F37" s="379">
        <v>27</v>
      </c>
      <c r="G37" s="208">
        <v>0</v>
      </c>
      <c r="H37" s="208">
        <v>0</v>
      </c>
      <c r="I37" s="376">
        <f>F37+(G37*0.75)+(H37*0.5)</f>
        <v>27</v>
      </c>
      <c r="K37" s="151"/>
    </row>
    <row r="38" spans="1:11" s="149" customFormat="1" ht="19.5" customHeight="1">
      <c r="A38" s="365" t="s">
        <v>164</v>
      </c>
      <c r="B38" s="379">
        <v>22</v>
      </c>
      <c r="C38" s="208">
        <v>0</v>
      </c>
      <c r="D38" s="208">
        <v>0</v>
      </c>
      <c r="E38" s="375">
        <f>SUM(B38:D38)</f>
        <v>22</v>
      </c>
      <c r="F38" s="379">
        <v>21</v>
      </c>
      <c r="G38" s="208">
        <v>0</v>
      </c>
      <c r="H38" s="208">
        <v>0</v>
      </c>
      <c r="I38" s="376">
        <f aca="true" t="shared" si="8" ref="I38:I47">SUM(F38:H38)</f>
        <v>21</v>
      </c>
      <c r="K38" s="151"/>
    </row>
    <row r="39" spans="1:11" s="149" customFormat="1" ht="19.5" customHeight="1">
      <c r="A39" s="365" t="s">
        <v>165</v>
      </c>
      <c r="B39" s="379">
        <v>20</v>
      </c>
      <c r="C39" s="208">
        <v>0</v>
      </c>
      <c r="D39" s="208">
        <v>0</v>
      </c>
      <c r="E39" s="375">
        <f aca="true" t="shared" si="9" ref="E39:E44">SUM(B39:D39)</f>
        <v>20</v>
      </c>
      <c r="F39" s="379">
        <v>19</v>
      </c>
      <c r="G39" s="208">
        <v>0</v>
      </c>
      <c r="H39" s="208">
        <v>0</v>
      </c>
      <c r="I39" s="376">
        <f t="shared" si="8"/>
        <v>19</v>
      </c>
      <c r="K39" s="151"/>
    </row>
    <row r="40" spans="1:11" s="149" customFormat="1" ht="19.5" customHeight="1">
      <c r="A40" s="365" t="s">
        <v>431</v>
      </c>
      <c r="B40" s="379">
        <v>15</v>
      </c>
      <c r="C40" s="208">
        <v>0</v>
      </c>
      <c r="D40" s="208">
        <v>0</v>
      </c>
      <c r="E40" s="375">
        <f>SUM(B40:D40)</f>
        <v>15</v>
      </c>
      <c r="F40" s="379">
        <v>14</v>
      </c>
      <c r="G40" s="208">
        <v>0</v>
      </c>
      <c r="H40" s="208">
        <v>0</v>
      </c>
      <c r="I40" s="376">
        <f>SUM(F40:H40)</f>
        <v>14</v>
      </c>
      <c r="K40" s="151"/>
    </row>
    <row r="41" spans="1:11" s="149" customFormat="1" ht="19.5" customHeight="1">
      <c r="A41" s="365" t="s">
        <v>432</v>
      </c>
      <c r="B41" s="379">
        <v>9</v>
      </c>
      <c r="C41" s="208">
        <v>0</v>
      </c>
      <c r="D41" s="375">
        <v>0.5</v>
      </c>
      <c r="E41" s="375">
        <f>SUM(B41:D41)</f>
        <v>9.5</v>
      </c>
      <c r="F41" s="379">
        <v>9</v>
      </c>
      <c r="G41" s="208">
        <v>0</v>
      </c>
      <c r="H41" s="379">
        <v>1</v>
      </c>
      <c r="I41" s="376">
        <f>SUM(F41:H41)</f>
        <v>10</v>
      </c>
      <c r="K41" s="151"/>
    </row>
    <row r="42" spans="1:11" s="149" customFormat="1" ht="19.5" customHeight="1">
      <c r="A42" s="365" t="s">
        <v>166</v>
      </c>
      <c r="B42" s="379">
        <v>33</v>
      </c>
      <c r="C42" s="208">
        <v>0</v>
      </c>
      <c r="D42" s="208">
        <v>0</v>
      </c>
      <c r="E42" s="375">
        <f t="shared" si="9"/>
        <v>33</v>
      </c>
      <c r="F42" s="379">
        <v>33</v>
      </c>
      <c r="G42" s="208">
        <v>0</v>
      </c>
      <c r="H42" s="208">
        <v>0</v>
      </c>
      <c r="I42" s="376">
        <f t="shared" si="8"/>
        <v>33</v>
      </c>
      <c r="K42" s="151"/>
    </row>
    <row r="43" spans="1:11" s="149" customFormat="1" ht="19.5" customHeight="1">
      <c r="A43" s="365" t="s">
        <v>167</v>
      </c>
      <c r="B43" s="375">
        <v>20</v>
      </c>
      <c r="C43" s="208">
        <v>0</v>
      </c>
      <c r="D43" s="208">
        <v>0</v>
      </c>
      <c r="E43" s="375">
        <f t="shared" si="9"/>
        <v>20</v>
      </c>
      <c r="F43" s="375">
        <v>19</v>
      </c>
      <c r="G43" s="208">
        <v>0</v>
      </c>
      <c r="H43" s="208">
        <v>0</v>
      </c>
      <c r="I43" s="376">
        <f t="shared" si="8"/>
        <v>19</v>
      </c>
      <c r="K43" s="151"/>
    </row>
    <row r="44" spans="1:11" s="149" customFormat="1" ht="19.5" customHeight="1">
      <c r="A44" s="365" t="s">
        <v>168</v>
      </c>
      <c r="B44" s="375">
        <v>27</v>
      </c>
      <c r="C44" s="208">
        <v>0</v>
      </c>
      <c r="D44" s="208">
        <v>0</v>
      </c>
      <c r="E44" s="375">
        <f t="shared" si="9"/>
        <v>27</v>
      </c>
      <c r="F44" s="375">
        <v>26</v>
      </c>
      <c r="G44" s="208">
        <v>0</v>
      </c>
      <c r="H44" s="208">
        <v>0</v>
      </c>
      <c r="I44" s="376">
        <f t="shared" si="8"/>
        <v>26</v>
      </c>
      <c r="K44" s="151"/>
    </row>
    <row r="45" spans="1:11" s="149" customFormat="1" ht="19.5" customHeight="1">
      <c r="A45" s="365" t="s">
        <v>169</v>
      </c>
      <c r="B45" s="375">
        <v>11</v>
      </c>
      <c r="C45" s="208">
        <v>0</v>
      </c>
      <c r="D45" s="208">
        <v>0</v>
      </c>
      <c r="E45" s="375">
        <f>SUM(B45:D45)</f>
        <v>11</v>
      </c>
      <c r="F45" s="375">
        <v>11</v>
      </c>
      <c r="G45" s="208">
        <v>0</v>
      </c>
      <c r="H45" s="208">
        <v>0</v>
      </c>
      <c r="I45" s="376">
        <f t="shared" si="8"/>
        <v>11</v>
      </c>
      <c r="K45" s="151"/>
    </row>
    <row r="46" spans="1:11" s="149" customFormat="1" ht="19.5" customHeight="1">
      <c r="A46" s="389" t="s">
        <v>79</v>
      </c>
      <c r="B46" s="390">
        <v>2</v>
      </c>
      <c r="C46" s="391">
        <v>0</v>
      </c>
      <c r="D46" s="391">
        <v>0</v>
      </c>
      <c r="E46" s="390">
        <f>SUM(B46:D46)</f>
        <v>2</v>
      </c>
      <c r="F46" s="390">
        <v>2</v>
      </c>
      <c r="G46" s="391">
        <v>0</v>
      </c>
      <c r="H46" s="391">
        <v>0</v>
      </c>
      <c r="I46" s="392">
        <f t="shared" si="8"/>
        <v>2</v>
      </c>
      <c r="K46" s="151"/>
    </row>
    <row r="47" spans="1:11" s="149" customFormat="1" ht="19.5" customHeight="1">
      <c r="A47" s="389" t="s">
        <v>264</v>
      </c>
      <c r="B47" s="390">
        <v>1</v>
      </c>
      <c r="C47" s="393">
        <v>0</v>
      </c>
      <c r="D47" s="393">
        <v>0</v>
      </c>
      <c r="E47" s="390">
        <f>SUM(B47:D47)</f>
        <v>1</v>
      </c>
      <c r="F47" s="390">
        <v>1</v>
      </c>
      <c r="G47" s="393">
        <v>0</v>
      </c>
      <c r="H47" s="393">
        <v>0</v>
      </c>
      <c r="I47" s="392">
        <f t="shared" si="8"/>
        <v>1</v>
      </c>
      <c r="K47" s="151"/>
    </row>
    <row r="48" spans="1:11" s="149" customFormat="1" ht="19.5" customHeight="1" thickBot="1">
      <c r="A48" s="368" t="s">
        <v>170</v>
      </c>
      <c r="B48" s="380">
        <f aca="true" t="shared" si="10" ref="B48:I48">SUM(B16+B23+B25+B46+B47)</f>
        <v>406</v>
      </c>
      <c r="C48" s="380">
        <f t="shared" si="10"/>
        <v>2</v>
      </c>
      <c r="D48" s="380">
        <f t="shared" si="10"/>
        <v>5</v>
      </c>
      <c r="E48" s="380">
        <f t="shared" si="10"/>
        <v>413</v>
      </c>
      <c r="F48" s="380">
        <f t="shared" si="10"/>
        <v>354</v>
      </c>
      <c r="G48" s="380">
        <f t="shared" si="10"/>
        <v>4</v>
      </c>
      <c r="H48" s="380">
        <f t="shared" si="10"/>
        <v>6</v>
      </c>
      <c r="I48" s="381">
        <f t="shared" si="10"/>
        <v>364</v>
      </c>
      <c r="K48" s="151"/>
    </row>
    <row r="49" spans="1:9" s="149" customFormat="1" ht="19.5" customHeight="1" thickTop="1">
      <c r="A49" s="150"/>
      <c r="E49" s="151"/>
      <c r="F49" s="151"/>
      <c r="I49" s="151"/>
    </row>
    <row r="50" s="149" customFormat="1" ht="19.5" customHeight="1">
      <c r="A50" s="150"/>
    </row>
    <row r="53" ht="15.75">
      <c r="C53" s="212"/>
    </row>
  </sheetData>
  <sheetProtection/>
  <mergeCells count="16">
    <mergeCell ref="A3:I3"/>
    <mergeCell ref="F5:I5"/>
    <mergeCell ref="B6:B8"/>
    <mergeCell ref="C6:D6"/>
    <mergeCell ref="E6:E8"/>
    <mergeCell ref="F6:F8"/>
    <mergeCell ref="G6:H6"/>
    <mergeCell ref="I6:I8"/>
    <mergeCell ref="C7:C8"/>
    <mergeCell ref="D7:D8"/>
    <mergeCell ref="G7:G8"/>
    <mergeCell ref="H7:H8"/>
    <mergeCell ref="A9:I9"/>
    <mergeCell ref="A24:I24"/>
    <mergeCell ref="A5:A8"/>
    <mergeCell ref="B5:E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34"/>
  <sheetViews>
    <sheetView zoomScale="80" zoomScaleNormal="80" workbookViewId="0" topLeftCell="A7">
      <selection activeCell="I37" sqref="I37"/>
    </sheetView>
  </sheetViews>
  <sheetFormatPr defaultColWidth="9.00390625" defaultRowHeight="12.75"/>
  <cols>
    <col min="1" max="1" width="44.875" style="31" bestFit="1" customWidth="1"/>
    <col min="2" max="3" width="12.125" style="31" bestFit="1" customWidth="1"/>
    <col min="4" max="4" width="13.75390625" style="31" bestFit="1" customWidth="1"/>
    <col min="5" max="8" width="13.625" style="31" bestFit="1" customWidth="1"/>
    <col min="9" max="9" width="12.375" style="31" bestFit="1" customWidth="1"/>
    <col min="10" max="10" width="13.75390625" style="31" bestFit="1" customWidth="1"/>
    <col min="11" max="11" width="12.125" style="31" bestFit="1" customWidth="1"/>
    <col min="12" max="13" width="12.75390625" style="31" bestFit="1" customWidth="1"/>
    <col min="14" max="14" width="15.875" style="31" customWidth="1"/>
    <col min="15" max="15" width="13.625" style="31" bestFit="1" customWidth="1"/>
    <col min="16" max="16" width="9.125" style="31" customWidth="1"/>
    <col min="17" max="17" width="13.00390625" style="31" bestFit="1" customWidth="1"/>
    <col min="18" max="16384" width="9.125" style="31" customWidth="1"/>
  </cols>
  <sheetData>
    <row r="1" spans="1:14" ht="15">
      <c r="A1" s="154" t="s">
        <v>0</v>
      </c>
      <c r="L1" s="32"/>
      <c r="N1" s="3" t="s">
        <v>578</v>
      </c>
    </row>
    <row r="3" spans="1:14" ht="15.75">
      <c r="A3" s="805" t="s">
        <v>807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</row>
    <row r="4" spans="1:14" ht="15.75">
      <c r="A4" s="806" t="s">
        <v>375</v>
      </c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</row>
    <row r="5" ht="13.5" thickBot="1"/>
    <row r="6" spans="1:14" ht="19.5" customHeight="1" thickBot="1" thickTop="1">
      <c r="A6" s="681" t="s">
        <v>95</v>
      </c>
      <c r="B6" s="682" t="s">
        <v>233</v>
      </c>
      <c r="C6" s="682" t="s">
        <v>234</v>
      </c>
      <c r="D6" s="682" t="s">
        <v>235</v>
      </c>
      <c r="E6" s="682" t="s">
        <v>236</v>
      </c>
      <c r="F6" s="682" t="s">
        <v>237</v>
      </c>
      <c r="G6" s="682" t="s">
        <v>238</v>
      </c>
      <c r="H6" s="682" t="s">
        <v>239</v>
      </c>
      <c r="I6" s="682" t="s">
        <v>240</v>
      </c>
      <c r="J6" s="682" t="s">
        <v>241</v>
      </c>
      <c r="K6" s="682" t="s">
        <v>242</v>
      </c>
      <c r="L6" s="682" t="s">
        <v>243</v>
      </c>
      <c r="M6" s="682" t="s">
        <v>244</v>
      </c>
      <c r="N6" s="683" t="s">
        <v>245</v>
      </c>
    </row>
    <row r="7" spans="1:14" ht="19.5" customHeight="1" thickTop="1">
      <c r="A7" s="697" t="s">
        <v>12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98"/>
    </row>
    <row r="8" spans="1:14" ht="19.5" customHeight="1">
      <c r="A8" s="699" t="s">
        <v>462</v>
      </c>
      <c r="B8" s="685">
        <f>2584748570*12%</f>
        <v>310169828.4</v>
      </c>
      <c r="C8" s="685">
        <f>2584748570*8%</f>
        <v>206779885.6</v>
      </c>
      <c r="D8" s="685">
        <v>206779885.6</v>
      </c>
      <c r="E8" s="685">
        <v>206779885.6</v>
      </c>
      <c r="F8" s="685">
        <v>206779885.6</v>
      </c>
      <c r="G8" s="685">
        <v>206779885.6</v>
      </c>
      <c r="H8" s="685">
        <v>206779885.6</v>
      </c>
      <c r="I8" s="685">
        <v>206779885.6</v>
      </c>
      <c r="J8" s="685">
        <v>206779885.6</v>
      </c>
      <c r="K8" s="685">
        <v>206779885.6</v>
      </c>
      <c r="L8" s="685">
        <v>206779885.6</v>
      </c>
      <c r="M8" s="685">
        <v>206779885.6</v>
      </c>
      <c r="N8" s="700">
        <f aca="true" t="shared" si="0" ref="N8:N14">SUM(B8:M8)</f>
        <v>2584748569.9999995</v>
      </c>
    </row>
    <row r="9" spans="1:15" ht="19.5" customHeight="1">
      <c r="A9" s="701" t="s">
        <v>2</v>
      </c>
      <c r="B9" s="686">
        <v>29200000</v>
      </c>
      <c r="C9" s="686">
        <v>32100000</v>
      </c>
      <c r="D9" s="686">
        <v>1150000000</v>
      </c>
      <c r="E9" s="686">
        <v>36500000</v>
      </c>
      <c r="F9" s="686">
        <v>250000000</v>
      </c>
      <c r="G9" s="686">
        <v>13200000</v>
      </c>
      <c r="H9" s="686">
        <v>21300000</v>
      </c>
      <c r="I9" s="686">
        <v>15800000</v>
      </c>
      <c r="J9" s="686">
        <v>1150000000</v>
      </c>
      <c r="K9" s="686">
        <v>70000000</v>
      </c>
      <c r="L9" s="686">
        <v>66000000</v>
      </c>
      <c r="M9" s="686">
        <v>129900000</v>
      </c>
      <c r="N9" s="700">
        <f t="shared" si="0"/>
        <v>2964000000</v>
      </c>
      <c r="O9" s="33"/>
    </row>
    <row r="10" spans="1:14" ht="19.5" customHeight="1">
      <c r="A10" s="701" t="s">
        <v>3</v>
      </c>
      <c r="B10" s="686">
        <v>34200000</v>
      </c>
      <c r="C10" s="686">
        <v>33800000</v>
      </c>
      <c r="D10" s="686">
        <v>32700000</v>
      </c>
      <c r="E10" s="686">
        <v>30400000</v>
      </c>
      <c r="F10" s="686">
        <v>28800000</v>
      </c>
      <c r="G10" s="686">
        <f>16000000</f>
        <v>16000000</v>
      </c>
      <c r="H10" s="686">
        <v>24300000</v>
      </c>
      <c r="I10" s="686">
        <v>25000000</v>
      </c>
      <c r="J10" s="686">
        <v>35200000</v>
      </c>
      <c r="K10" s="686">
        <v>36300000</v>
      </c>
      <c r="L10" s="686">
        <f>35300000-390449</f>
        <v>34909551</v>
      </c>
      <c r="M10" s="686">
        <f>33200000+53168</f>
        <v>33253168</v>
      </c>
      <c r="N10" s="700">
        <f t="shared" si="0"/>
        <v>364862719</v>
      </c>
    </row>
    <row r="11" spans="1:14" ht="19.5" customHeight="1">
      <c r="A11" s="701" t="s">
        <v>802</v>
      </c>
      <c r="B11" s="687">
        <v>580550</v>
      </c>
      <c r="C11" s="687">
        <v>580550</v>
      </c>
      <c r="D11" s="687">
        <f>1585501+580550+10000000</f>
        <v>12166051</v>
      </c>
      <c r="E11" s="687">
        <v>528500</v>
      </c>
      <c r="F11" s="687">
        <v>528500</v>
      </c>
      <c r="G11" s="687">
        <v>528500</v>
      </c>
      <c r="H11" s="687">
        <v>528500</v>
      </c>
      <c r="I11" s="687">
        <v>528500</v>
      </c>
      <c r="J11" s="687">
        <v>528500</v>
      </c>
      <c r="K11" s="687">
        <v>528500</v>
      </c>
      <c r="L11" s="687">
        <v>528500</v>
      </c>
      <c r="M11" s="687">
        <v>528503</v>
      </c>
      <c r="N11" s="700">
        <f t="shared" si="0"/>
        <v>18083654</v>
      </c>
    </row>
    <row r="12" spans="1:14" ht="19.5" customHeight="1">
      <c r="A12" s="701" t="s">
        <v>4</v>
      </c>
      <c r="B12" s="687">
        <v>260421</v>
      </c>
      <c r="C12" s="687">
        <v>260421</v>
      </c>
      <c r="D12" s="687">
        <v>260421</v>
      </c>
      <c r="E12" s="687">
        <v>260421</v>
      </c>
      <c r="F12" s="687">
        <v>260421</v>
      </c>
      <c r="G12" s="687">
        <v>260421</v>
      </c>
      <c r="H12" s="687">
        <v>260421</v>
      </c>
      <c r="I12" s="687">
        <v>260422</v>
      </c>
      <c r="J12" s="687">
        <v>260422</v>
      </c>
      <c r="K12" s="687">
        <v>260422</v>
      </c>
      <c r="L12" s="687">
        <v>260422</v>
      </c>
      <c r="M12" s="687">
        <v>260422</v>
      </c>
      <c r="N12" s="700">
        <f t="shared" si="0"/>
        <v>3125057</v>
      </c>
    </row>
    <row r="13" spans="1:14" ht="19.5" customHeight="1">
      <c r="A13" s="701" t="s">
        <v>378</v>
      </c>
      <c r="B13" s="687">
        <f>72000000+42000000+200000000</f>
        <v>314000000</v>
      </c>
      <c r="C13" s="688">
        <v>400000000</v>
      </c>
      <c r="D13" s="688">
        <v>400000000</v>
      </c>
      <c r="E13" s="688">
        <v>800000000</v>
      </c>
      <c r="F13" s="688">
        <v>280000000</v>
      </c>
      <c r="G13" s="687">
        <v>201000000</v>
      </c>
      <c r="H13" s="688"/>
      <c r="I13" s="688"/>
      <c r="J13" s="688"/>
      <c r="K13" s="688"/>
      <c r="L13" s="688"/>
      <c r="M13" s="688"/>
      <c r="N13" s="700">
        <f t="shared" si="0"/>
        <v>2395000000</v>
      </c>
    </row>
    <row r="14" spans="1:14" ht="19.5" customHeight="1" thickBot="1">
      <c r="A14" s="702" t="s">
        <v>379</v>
      </c>
      <c r="B14" s="689"/>
      <c r="C14" s="689"/>
      <c r="D14" s="689"/>
      <c r="E14" s="689"/>
      <c r="F14" s="689"/>
      <c r="G14" s="690">
        <v>100000000</v>
      </c>
      <c r="H14" s="689">
        <v>200000000</v>
      </c>
      <c r="I14" s="689">
        <v>300000000</v>
      </c>
      <c r="J14" s="689"/>
      <c r="K14" s="689"/>
      <c r="L14" s="689">
        <v>344280000</v>
      </c>
      <c r="M14" s="689"/>
      <c r="N14" s="703">
        <f t="shared" si="0"/>
        <v>944280000</v>
      </c>
    </row>
    <row r="15" spans="1:14" ht="19.5" customHeight="1" thickBot="1" thickTop="1">
      <c r="A15" s="691" t="s">
        <v>377</v>
      </c>
      <c r="B15" s="692">
        <f>SUM(B8:B14)</f>
        <v>688410799.4</v>
      </c>
      <c r="C15" s="692">
        <f aca="true" t="shared" si="1" ref="C15:M15">SUM(C8:C14)</f>
        <v>673520856.6</v>
      </c>
      <c r="D15" s="692">
        <f t="shared" si="1"/>
        <v>1801906357.6</v>
      </c>
      <c r="E15" s="692">
        <f t="shared" si="1"/>
        <v>1074468806.6</v>
      </c>
      <c r="F15" s="692">
        <f t="shared" si="1"/>
        <v>766368806.6</v>
      </c>
      <c r="G15" s="692">
        <f t="shared" si="1"/>
        <v>537768806.6</v>
      </c>
      <c r="H15" s="692">
        <f t="shared" si="1"/>
        <v>453168806.6</v>
      </c>
      <c r="I15" s="692">
        <f t="shared" si="1"/>
        <v>548368807.6</v>
      </c>
      <c r="J15" s="692">
        <f t="shared" si="1"/>
        <v>1392768807.6</v>
      </c>
      <c r="K15" s="692">
        <f t="shared" si="1"/>
        <v>313868807.6</v>
      </c>
      <c r="L15" s="692">
        <f t="shared" si="1"/>
        <v>652758358.6</v>
      </c>
      <c r="M15" s="692">
        <f t="shared" si="1"/>
        <v>370721978.6</v>
      </c>
      <c r="N15" s="693">
        <f>SUM(N8:N14)</f>
        <v>9274100000</v>
      </c>
    </row>
    <row r="16" spans="1:14" ht="19.5" customHeight="1" thickTop="1">
      <c r="A16" s="704"/>
      <c r="B16" s="694"/>
      <c r="C16" s="694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705"/>
    </row>
    <row r="17" spans="1:14" ht="19.5" customHeight="1">
      <c r="A17" s="706" t="s">
        <v>76</v>
      </c>
      <c r="B17" s="687"/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707"/>
    </row>
    <row r="18" spans="1:17" ht="19.5" customHeight="1">
      <c r="A18" s="701" t="s">
        <v>803</v>
      </c>
      <c r="B18" s="687">
        <v>175000000</v>
      </c>
      <c r="C18" s="687">
        <v>175000000</v>
      </c>
      <c r="D18" s="687">
        <f>175000000+145600000</f>
        <v>320600000</v>
      </c>
      <c r="E18" s="687">
        <f>175000000+23572730</f>
        <v>198572730</v>
      </c>
      <c r="F18" s="687">
        <v>175000000</v>
      </c>
      <c r="G18" s="687">
        <f>175000000+150000000</f>
        <v>325000000</v>
      </c>
      <c r="H18" s="687">
        <v>175000000</v>
      </c>
      <c r="I18" s="687">
        <v>175000000</v>
      </c>
      <c r="J18" s="687">
        <v>175000000</v>
      </c>
      <c r="K18" s="687">
        <v>175000000</v>
      </c>
      <c r="L18" s="687">
        <v>175000000</v>
      </c>
      <c r="M18" s="687">
        <v>325000000</v>
      </c>
      <c r="N18" s="708">
        <f>SUM(B18:M18)</f>
        <v>2569172730</v>
      </c>
      <c r="Q18" s="33"/>
    </row>
    <row r="19" spans="1:15" ht="19.5" customHeight="1">
      <c r="A19" s="709" t="s">
        <v>805</v>
      </c>
      <c r="B19" s="687">
        <v>185300000</v>
      </c>
      <c r="C19" s="687">
        <v>188300000</v>
      </c>
      <c r="D19" s="687">
        <v>200800000</v>
      </c>
      <c r="E19" s="687">
        <v>230000000</v>
      </c>
      <c r="F19" s="687">
        <v>180800000</v>
      </c>
      <c r="G19" s="687">
        <v>180800000</v>
      </c>
      <c r="H19" s="687">
        <v>180600000</v>
      </c>
      <c r="I19" s="687">
        <v>180600000</v>
      </c>
      <c r="J19" s="687">
        <v>210300000</v>
      </c>
      <c r="K19" s="687">
        <v>230000000</v>
      </c>
      <c r="L19" s="687">
        <v>235000000</v>
      </c>
      <c r="M19" s="687">
        <v>268550385</v>
      </c>
      <c r="N19" s="708">
        <f>SUM(B19:M19)</f>
        <v>2471050385</v>
      </c>
      <c r="O19" s="33"/>
    </row>
    <row r="20" spans="1:14" ht="19.5" customHeight="1">
      <c r="A20" s="709" t="s">
        <v>445</v>
      </c>
      <c r="B20" s="687">
        <v>64559172</v>
      </c>
      <c r="C20" s="687">
        <v>43039448</v>
      </c>
      <c r="D20" s="687">
        <v>43039448</v>
      </c>
      <c r="E20" s="687">
        <v>43039448</v>
      </c>
      <c r="F20" s="687">
        <v>43039448</v>
      </c>
      <c r="G20" s="687">
        <v>43039448</v>
      </c>
      <c r="H20" s="687">
        <v>43039448</v>
      </c>
      <c r="I20" s="687">
        <v>43039448</v>
      </c>
      <c r="J20" s="687">
        <v>43039448</v>
      </c>
      <c r="K20" s="687">
        <v>43039448</v>
      </c>
      <c r="L20" s="687">
        <v>43039448</v>
      </c>
      <c r="M20" s="687">
        <v>43039447</v>
      </c>
      <c r="N20" s="708">
        <f aca="true" t="shared" si="2" ref="N20:N26">SUM(B20:M20)</f>
        <v>537993099</v>
      </c>
    </row>
    <row r="21" spans="1:14" ht="19.5" customHeight="1">
      <c r="A21" s="701" t="s">
        <v>804</v>
      </c>
      <c r="B21" s="687">
        <v>300126</v>
      </c>
      <c r="C21" s="687">
        <f>8656749+300126</f>
        <v>8956875</v>
      </c>
      <c r="D21" s="687">
        <f>2885583+300126+30000000</f>
        <v>33185709</v>
      </c>
      <c r="E21" s="687">
        <f>2885583+300126+30000000</f>
        <v>33185709</v>
      </c>
      <c r="F21" s="687">
        <f>2885583+300126+20000000</f>
        <v>23185709</v>
      </c>
      <c r="G21" s="687">
        <f>2885583+300126+10000000</f>
        <v>13185709</v>
      </c>
      <c r="H21" s="687">
        <f>2885583+300126+20000000</f>
        <v>23185709</v>
      </c>
      <c r="I21" s="687">
        <f>2885583+300126+8000000</f>
        <v>11185709</v>
      </c>
      <c r="J21" s="687">
        <f>2885583+300126+20564415</f>
        <v>23750124</v>
      </c>
      <c r="K21" s="687">
        <f>2885583+300126+30000000</f>
        <v>33185709</v>
      </c>
      <c r="L21" s="687">
        <f>2885583+300126+20000000</f>
        <v>23185709</v>
      </c>
      <c r="M21" s="687">
        <f>2885583+300126</f>
        <v>3185709</v>
      </c>
      <c r="N21" s="708">
        <f t="shared" si="2"/>
        <v>229678506</v>
      </c>
    </row>
    <row r="22" spans="1:14" ht="19.5" customHeight="1">
      <c r="A22" s="701" t="s">
        <v>806</v>
      </c>
      <c r="B22" s="687"/>
      <c r="C22" s="687"/>
      <c r="D22" s="687"/>
      <c r="E22" s="695">
        <v>6600000</v>
      </c>
      <c r="F22" s="695">
        <v>193945000</v>
      </c>
      <c r="G22" s="695">
        <v>125000000</v>
      </c>
      <c r="H22" s="695">
        <v>125000000</v>
      </c>
      <c r="I22" s="695"/>
      <c r="J22" s="695"/>
      <c r="K22" s="695"/>
      <c r="L22" s="695"/>
      <c r="M22" s="695"/>
      <c r="N22" s="708">
        <f>SUM(B22:M22)</f>
        <v>450545000</v>
      </c>
    </row>
    <row r="23" spans="1:14" ht="19.5" customHeight="1">
      <c r="A23" s="701" t="s">
        <v>463</v>
      </c>
      <c r="B23" s="687">
        <v>60000000</v>
      </c>
      <c r="C23" s="687">
        <v>50000000</v>
      </c>
      <c r="D23" s="687">
        <v>150000000</v>
      </c>
      <c r="E23" s="687">
        <v>250000000</v>
      </c>
      <c r="F23" s="687">
        <v>216000000</v>
      </c>
      <c r="G23" s="687">
        <v>258000000</v>
      </c>
      <c r="H23" s="687">
        <f>724000000-50706087-429213379</f>
        <v>244080534</v>
      </c>
      <c r="I23" s="687">
        <v>160000000</v>
      </c>
      <c r="J23" s="687">
        <v>188279832</v>
      </c>
      <c r="K23" s="687">
        <v>325947735</v>
      </c>
      <c r="L23" s="687">
        <v>192687455</v>
      </c>
      <c r="M23" s="687">
        <v>23387546</v>
      </c>
      <c r="N23" s="708">
        <f t="shared" si="2"/>
        <v>2118383102</v>
      </c>
    </row>
    <row r="24" spans="1:14" ht="19.5" customHeight="1">
      <c r="A24" s="701" t="s">
        <v>231</v>
      </c>
      <c r="B24" s="687"/>
      <c r="C24" s="687"/>
      <c r="D24" s="686">
        <v>28110000</v>
      </c>
      <c r="E24" s="686">
        <v>35244000</v>
      </c>
      <c r="F24" s="686">
        <v>25432000</v>
      </c>
      <c r="G24" s="686">
        <v>17413000</v>
      </c>
      <c r="H24" s="686">
        <v>23400000</v>
      </c>
      <c r="I24" s="686">
        <v>22576000</v>
      </c>
      <c r="J24" s="686">
        <v>27813000</v>
      </c>
      <c r="K24" s="686">
        <v>26584000</v>
      </c>
      <c r="L24" s="687">
        <v>27256000</v>
      </c>
      <c r="M24" s="686">
        <v>16355794</v>
      </c>
      <c r="N24" s="708">
        <f t="shared" si="2"/>
        <v>250183794</v>
      </c>
    </row>
    <row r="25" spans="1:14" ht="19.5" customHeight="1">
      <c r="A25" s="701" t="s">
        <v>215</v>
      </c>
      <c r="B25" s="687"/>
      <c r="C25" s="687"/>
      <c r="D25" s="687">
        <v>5000000</v>
      </c>
      <c r="E25" s="687">
        <v>13000000</v>
      </c>
      <c r="F25" s="687">
        <v>20000000</v>
      </c>
      <c r="G25" s="687">
        <v>3000000</v>
      </c>
      <c r="H25" s="687">
        <v>252000000</v>
      </c>
      <c r="I25" s="687">
        <v>114200000</v>
      </c>
      <c r="J25" s="687">
        <v>22500000</v>
      </c>
      <c r="K25" s="687">
        <v>25000000</v>
      </c>
      <c r="L25" s="687">
        <v>51600000</v>
      </c>
      <c r="M25" s="687">
        <v>46200000</v>
      </c>
      <c r="N25" s="708">
        <f t="shared" si="2"/>
        <v>552500000</v>
      </c>
    </row>
    <row r="26" spans="1:14" ht="19.5" customHeight="1" thickBot="1">
      <c r="A26" s="710" t="s">
        <v>173</v>
      </c>
      <c r="B26" s="696">
        <v>94593384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711">
        <f t="shared" si="2"/>
        <v>94593384</v>
      </c>
    </row>
    <row r="27" spans="1:15" ht="19.5" customHeight="1" thickBot="1" thickTop="1">
      <c r="A27" s="712" t="s">
        <v>380</v>
      </c>
      <c r="B27" s="713">
        <f>SUM(B18:B26)</f>
        <v>579752682</v>
      </c>
      <c r="C27" s="713">
        <f aca="true" t="shared" si="3" ref="C27:N27">SUM(C18:C26)</f>
        <v>465296323</v>
      </c>
      <c r="D27" s="713">
        <f t="shared" si="3"/>
        <v>780735157</v>
      </c>
      <c r="E27" s="713">
        <f t="shared" si="3"/>
        <v>809641887</v>
      </c>
      <c r="F27" s="713">
        <f t="shared" si="3"/>
        <v>877402157</v>
      </c>
      <c r="G27" s="713">
        <f t="shared" si="3"/>
        <v>965438157</v>
      </c>
      <c r="H27" s="713">
        <f t="shared" si="3"/>
        <v>1066305691</v>
      </c>
      <c r="I27" s="713">
        <f t="shared" si="3"/>
        <v>706601157</v>
      </c>
      <c r="J27" s="713">
        <f t="shared" si="3"/>
        <v>690682404</v>
      </c>
      <c r="K27" s="713">
        <f t="shared" si="3"/>
        <v>858756892</v>
      </c>
      <c r="L27" s="713">
        <f t="shared" si="3"/>
        <v>747768612</v>
      </c>
      <c r="M27" s="713">
        <f t="shared" si="3"/>
        <v>725718881</v>
      </c>
      <c r="N27" s="714">
        <f t="shared" si="3"/>
        <v>9274100000</v>
      </c>
      <c r="O27" s="33"/>
    </row>
    <row r="28" ht="19.5" customHeight="1" thickTop="1">
      <c r="A28" s="35"/>
    </row>
    <row r="29" spans="2:4" ht="19.5" customHeight="1">
      <c r="B29" s="33"/>
      <c r="C29" s="33"/>
      <c r="D29" s="33"/>
    </row>
    <row r="30" ht="19.5" customHeight="1">
      <c r="E30" s="33"/>
    </row>
    <row r="31" spans="5:14" ht="19.5" customHeight="1">
      <c r="E31" s="33"/>
      <c r="N31" s="33"/>
    </row>
    <row r="32" ht="19.5" customHeight="1">
      <c r="E32" s="33"/>
    </row>
    <row r="33" ht="19.5" customHeight="1">
      <c r="E33" s="33"/>
    </row>
    <row r="34" ht="12.75">
      <c r="E34" s="33"/>
    </row>
  </sheetData>
  <sheetProtection/>
  <mergeCells count="2">
    <mergeCell ref="A3:N3"/>
    <mergeCell ref="A4:N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S26"/>
  <sheetViews>
    <sheetView zoomScale="75" zoomScaleNormal="75" workbookViewId="0" topLeftCell="A1">
      <selection activeCell="D21" sqref="D21"/>
    </sheetView>
  </sheetViews>
  <sheetFormatPr defaultColWidth="9.00390625" defaultRowHeight="12.75"/>
  <cols>
    <col min="1" max="1" width="58.25390625" style="39" customWidth="1"/>
    <col min="2" max="2" width="35.625" style="39" bestFit="1" customWidth="1"/>
    <col min="3" max="3" width="17.375" style="39" bestFit="1" customWidth="1"/>
    <col min="4" max="4" width="21.125" style="39" customWidth="1"/>
    <col min="5" max="5" width="20.875" style="39" customWidth="1"/>
    <col min="6" max="6" width="13.75390625" style="39" customWidth="1"/>
    <col min="7" max="7" width="18.625" style="39" customWidth="1"/>
    <col min="8" max="8" width="20.25390625" style="39" customWidth="1"/>
    <col min="9" max="9" width="22.625" style="39" customWidth="1"/>
    <col min="10" max="14" width="10.75390625" style="39" customWidth="1"/>
    <col min="15" max="16" width="10.75390625" style="39" hidden="1" customWidth="1"/>
    <col min="17" max="19" width="10.75390625" style="39" customWidth="1"/>
    <col min="20" max="20" width="10.125" style="39" bestFit="1" customWidth="1"/>
    <col min="21" max="16384" width="9.125" style="39" customWidth="1"/>
  </cols>
  <sheetData>
    <row r="1" spans="1:5" ht="15.75">
      <c r="A1" s="39" t="s">
        <v>0</v>
      </c>
      <c r="E1" s="155" t="s">
        <v>575</v>
      </c>
    </row>
    <row r="3" spans="1:5" ht="31.5" customHeight="1">
      <c r="A3" s="811" t="s">
        <v>703</v>
      </c>
      <c r="B3" s="811"/>
      <c r="C3" s="811"/>
      <c r="D3" s="811"/>
      <c r="E3" s="811"/>
    </row>
    <row r="4" spans="1:5" ht="20.25" customHeight="1">
      <c r="A4" s="812" t="s">
        <v>382</v>
      </c>
      <c r="B4" s="812"/>
      <c r="C4" s="812"/>
      <c r="D4" s="812"/>
      <c r="E4" s="812"/>
    </row>
    <row r="5" spans="1:19" s="37" customFormat="1" ht="31.5" customHeight="1" thickBot="1">
      <c r="A5" s="809"/>
      <c r="B5" s="809"/>
      <c r="C5" s="809"/>
      <c r="D5" s="809"/>
      <c r="E5" s="809"/>
      <c r="F5" s="809"/>
      <c r="G5" s="809"/>
      <c r="H5" s="809"/>
      <c r="I5" s="36"/>
      <c r="J5" s="807"/>
      <c r="K5" s="807"/>
      <c r="L5" s="807"/>
      <c r="M5" s="807"/>
      <c r="N5" s="807"/>
      <c r="O5" s="807"/>
      <c r="P5" s="807"/>
      <c r="Q5" s="807"/>
      <c r="R5" s="807"/>
      <c r="S5" s="36"/>
    </row>
    <row r="6" spans="1:19" s="156" customFormat="1" ht="31.5" customHeight="1" thickBot="1" thickTop="1">
      <c r="A6" s="140" t="s">
        <v>246</v>
      </c>
      <c r="B6" s="157" t="s">
        <v>247</v>
      </c>
      <c r="C6" s="157" t="s">
        <v>248</v>
      </c>
      <c r="D6" s="157" t="s">
        <v>249</v>
      </c>
      <c r="E6" s="158" t="s">
        <v>34</v>
      </c>
      <c r="F6" s="56"/>
      <c r="G6" s="143"/>
      <c r="H6" s="143"/>
      <c r="I6" s="144"/>
      <c r="J6" s="144"/>
      <c r="K6" s="144"/>
      <c r="L6" s="144"/>
      <c r="M6" s="144"/>
      <c r="N6" s="144"/>
      <c r="O6" s="810"/>
      <c r="P6" s="810"/>
      <c r="Q6" s="144"/>
      <c r="R6" s="144"/>
      <c r="S6" s="144"/>
    </row>
    <row r="7" spans="1:19" s="37" customFormat="1" ht="24.75" customHeight="1" thickTop="1">
      <c r="A7" s="424" t="s">
        <v>250</v>
      </c>
      <c r="B7" s="413"/>
      <c r="C7" s="414"/>
      <c r="D7" s="415"/>
      <c r="E7" s="418"/>
      <c r="F7" s="38"/>
      <c r="G7" s="38"/>
      <c r="H7" s="40"/>
      <c r="I7" s="41"/>
      <c r="J7" s="42"/>
      <c r="K7" s="42"/>
      <c r="L7" s="42"/>
      <c r="M7" s="42"/>
      <c r="N7" s="42"/>
      <c r="O7" s="42"/>
      <c r="P7" s="42"/>
      <c r="Q7" s="42"/>
      <c r="R7" s="41"/>
      <c r="S7" s="41"/>
    </row>
    <row r="8" spans="1:19" s="37" customFormat="1" ht="24.75" customHeight="1">
      <c r="A8" s="422" t="s">
        <v>704</v>
      </c>
      <c r="B8" s="425" t="s">
        <v>251</v>
      </c>
      <c r="C8" s="412"/>
      <c r="D8" s="159"/>
      <c r="E8" s="420"/>
      <c r="F8" s="38"/>
      <c r="G8" s="68"/>
      <c r="H8" s="40"/>
      <c r="I8" s="41"/>
      <c r="J8" s="42"/>
      <c r="K8" s="42"/>
      <c r="L8" s="42"/>
      <c r="M8" s="42"/>
      <c r="N8" s="42"/>
      <c r="O8" s="42"/>
      <c r="P8" s="42"/>
      <c r="Q8" s="42"/>
      <c r="R8" s="41"/>
      <c r="S8" s="41"/>
    </row>
    <row r="9" spans="1:19" s="37" customFormat="1" ht="24.75" customHeight="1">
      <c r="A9" s="419" t="s">
        <v>705</v>
      </c>
      <c r="B9" s="160"/>
      <c r="C9" s="412">
        <v>0</v>
      </c>
      <c r="D9" s="159">
        <v>39438999</v>
      </c>
      <c r="E9" s="420">
        <f>SUM(C9:D9)</f>
        <v>39438999</v>
      </c>
      <c r="F9" s="38"/>
      <c r="G9" s="68"/>
      <c r="H9" s="40"/>
      <c r="I9" s="40"/>
      <c r="J9" s="42"/>
      <c r="K9" s="42"/>
      <c r="L9" s="42"/>
      <c r="M9" s="42"/>
      <c r="N9" s="42"/>
      <c r="O9" s="42"/>
      <c r="P9" s="42"/>
      <c r="Q9" s="42"/>
      <c r="R9" s="41"/>
      <c r="S9" s="41"/>
    </row>
    <row r="10" spans="1:19" s="37" customFormat="1" ht="24.75" customHeight="1">
      <c r="A10" s="419" t="s">
        <v>706</v>
      </c>
      <c r="B10" s="160"/>
      <c r="C10" s="412">
        <v>0</v>
      </c>
      <c r="D10" s="159">
        <v>40722929</v>
      </c>
      <c r="E10" s="420">
        <f>SUM(C10:D10)</f>
        <v>40722929</v>
      </c>
      <c r="F10" s="38"/>
      <c r="G10" s="68"/>
      <c r="H10" s="40"/>
      <c r="I10" s="41"/>
      <c r="J10" s="42"/>
      <c r="K10" s="42"/>
      <c r="L10" s="42"/>
      <c r="M10" s="42"/>
      <c r="N10" s="42"/>
      <c r="O10" s="42"/>
      <c r="P10" s="42"/>
      <c r="Q10" s="42"/>
      <c r="R10" s="41"/>
      <c r="S10" s="41"/>
    </row>
    <row r="11" spans="1:19" s="37" customFormat="1" ht="24.75" customHeight="1">
      <c r="A11" s="421" t="s">
        <v>707</v>
      </c>
      <c r="B11" s="160"/>
      <c r="C11" s="412">
        <v>0</v>
      </c>
      <c r="D11" s="411">
        <v>61926026</v>
      </c>
      <c r="E11" s="420">
        <f>SUM(C11:D11)</f>
        <v>61926026</v>
      </c>
      <c r="F11" s="38"/>
      <c r="G11" s="38"/>
      <c r="H11" s="40"/>
      <c r="I11" s="41"/>
      <c r="J11" s="42"/>
      <c r="K11" s="42"/>
      <c r="L11" s="42"/>
      <c r="M11" s="42"/>
      <c r="N11" s="42"/>
      <c r="O11" s="42"/>
      <c r="P11" s="42"/>
      <c r="Q11" s="42"/>
      <c r="R11" s="41"/>
      <c r="S11" s="41"/>
    </row>
    <row r="12" spans="1:19" s="37" customFormat="1" ht="24.75" customHeight="1" thickBot="1">
      <c r="A12" s="423" t="s">
        <v>708</v>
      </c>
      <c r="B12" s="426" t="s">
        <v>252</v>
      </c>
      <c r="C12" s="416">
        <v>60551321</v>
      </c>
      <c r="D12" s="417">
        <v>0</v>
      </c>
      <c r="E12" s="420">
        <f>SUM(C12:D12)</f>
        <v>60551321</v>
      </c>
      <c r="F12" s="38"/>
      <c r="G12" s="38"/>
      <c r="H12" s="40"/>
      <c r="I12" s="41"/>
      <c r="J12" s="42"/>
      <c r="K12" s="42"/>
      <c r="L12" s="42"/>
      <c r="M12" s="42"/>
      <c r="N12" s="42"/>
      <c r="O12" s="42"/>
      <c r="P12" s="42"/>
      <c r="Q12" s="42"/>
      <c r="R12" s="41"/>
      <c r="S12" s="41"/>
    </row>
    <row r="13" spans="1:19" s="37" customFormat="1" ht="24.75" customHeight="1" thickBot="1" thickTop="1">
      <c r="A13" s="715" t="s">
        <v>138</v>
      </c>
      <c r="B13" s="161"/>
      <c r="C13" s="162">
        <f>SUM(C7:C12)</f>
        <v>60551321</v>
      </c>
      <c r="D13" s="162">
        <f>SUM(D7:D12)</f>
        <v>142087954</v>
      </c>
      <c r="E13" s="163">
        <f>SUM(E7:E12)</f>
        <v>202639275</v>
      </c>
      <c r="F13" s="38"/>
      <c r="G13" s="44"/>
      <c r="H13" s="45"/>
      <c r="I13" s="46"/>
      <c r="J13" s="43"/>
      <c r="K13" s="43"/>
      <c r="L13" s="43"/>
      <c r="M13" s="43"/>
      <c r="N13" s="43"/>
      <c r="O13" s="43"/>
      <c r="P13" s="43"/>
      <c r="Q13" s="43"/>
      <c r="R13" s="46"/>
      <c r="S13" s="41"/>
    </row>
    <row r="14" spans="1:8" ht="60" customHeight="1" thickTop="1">
      <c r="A14" s="239"/>
      <c r="B14" s="239"/>
      <c r="C14" s="239"/>
      <c r="D14" s="239"/>
      <c r="E14" s="239"/>
      <c r="F14" s="38"/>
      <c r="G14" s="10"/>
      <c r="H14" s="10"/>
    </row>
    <row r="15" spans="1:8" ht="15.75">
      <c r="A15" s="38"/>
      <c r="B15" s="38"/>
      <c r="C15" s="38"/>
      <c r="D15" s="38"/>
      <c r="E15" s="38"/>
      <c r="F15" s="38"/>
      <c r="G15" s="10"/>
      <c r="H15" s="10"/>
    </row>
    <row r="16" spans="1:19" ht="15.75">
      <c r="A16" s="38"/>
      <c r="B16" s="38"/>
      <c r="C16" s="38"/>
      <c r="D16" s="38"/>
      <c r="E16" s="38"/>
      <c r="F16" s="38"/>
      <c r="G16" s="10"/>
      <c r="H16" s="10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8" ht="15.75">
      <c r="A17" s="38"/>
      <c r="B17" s="38"/>
      <c r="C17" s="38"/>
      <c r="D17" s="38"/>
      <c r="E17" s="48"/>
      <c r="F17" s="38"/>
      <c r="G17" s="10"/>
      <c r="H17" s="10"/>
    </row>
    <row r="18" spans="1:19" ht="16.5">
      <c r="A18" s="50"/>
      <c r="B18" s="50"/>
      <c r="C18" s="50"/>
      <c r="D18" s="50"/>
      <c r="E18" s="50"/>
      <c r="F18" s="50"/>
      <c r="G18" s="49"/>
      <c r="H18" s="51"/>
      <c r="I18" s="52"/>
      <c r="J18" s="807"/>
      <c r="K18" s="807"/>
      <c r="L18" s="807"/>
      <c r="M18" s="807"/>
      <c r="N18" s="807"/>
      <c r="O18" s="807"/>
      <c r="P18" s="807"/>
      <c r="Q18" s="36"/>
      <c r="R18" s="52"/>
      <c r="S18" s="52"/>
    </row>
    <row r="19" spans="1:19" ht="16.5">
      <c r="A19" s="50"/>
      <c r="B19" s="50"/>
      <c r="C19" s="50"/>
      <c r="D19" s="50"/>
      <c r="E19" s="50"/>
      <c r="F19" s="50"/>
      <c r="G19" s="53"/>
      <c r="H19" s="53"/>
      <c r="I19" s="54"/>
      <c r="J19" s="54"/>
      <c r="K19" s="54"/>
      <c r="L19" s="54"/>
      <c r="M19" s="54"/>
      <c r="N19" s="54"/>
      <c r="O19" s="808"/>
      <c r="P19" s="54"/>
      <c r="Q19" s="54"/>
      <c r="R19" s="54"/>
      <c r="S19" s="54"/>
    </row>
    <row r="20" spans="1:19" ht="16.5">
      <c r="A20" s="50"/>
      <c r="B20" s="50"/>
      <c r="C20" s="50"/>
      <c r="D20" s="50"/>
      <c r="E20" s="50"/>
      <c r="F20" s="50"/>
      <c r="G20" s="53"/>
      <c r="H20" s="53"/>
      <c r="I20" s="54"/>
      <c r="J20" s="54"/>
      <c r="K20" s="54"/>
      <c r="L20" s="54"/>
      <c r="M20" s="54"/>
      <c r="N20" s="54"/>
      <c r="O20" s="808"/>
      <c r="P20" s="54"/>
      <c r="Q20" s="54"/>
      <c r="R20" s="54"/>
      <c r="S20" s="54"/>
    </row>
    <row r="21" spans="1:19" ht="16.5">
      <c r="A21" s="50"/>
      <c r="B21" s="50"/>
      <c r="C21" s="50"/>
      <c r="D21" s="50"/>
      <c r="E21" s="50"/>
      <c r="F21" s="50"/>
      <c r="G21" s="55"/>
      <c r="H21" s="56"/>
      <c r="I21" s="57"/>
      <c r="J21" s="58"/>
      <c r="K21" s="58"/>
      <c r="L21" s="58"/>
      <c r="M21" s="58"/>
      <c r="N21" s="58"/>
      <c r="O21" s="58"/>
      <c r="P21" s="58"/>
      <c r="Q21" s="58"/>
      <c r="R21" s="57"/>
      <c r="S21" s="57"/>
    </row>
    <row r="22" spans="1:19" ht="16.5">
      <c r="A22" s="50"/>
      <c r="B22" s="50"/>
      <c r="C22" s="50"/>
      <c r="D22" s="50"/>
      <c r="E22" s="50"/>
      <c r="F22" s="50"/>
      <c r="G22" s="38"/>
      <c r="H22" s="40"/>
      <c r="I22" s="59"/>
      <c r="J22" s="60"/>
      <c r="K22" s="60"/>
      <c r="L22" s="60"/>
      <c r="M22" s="60"/>
      <c r="N22" s="60"/>
      <c r="O22" s="60"/>
      <c r="P22" s="60"/>
      <c r="Q22" s="60"/>
      <c r="R22" s="59"/>
      <c r="S22" s="59"/>
    </row>
    <row r="23" spans="1:19" ht="16.5">
      <c r="A23" s="50"/>
      <c r="B23" s="50"/>
      <c r="C23" s="50"/>
      <c r="D23" s="50"/>
      <c r="E23" s="50"/>
      <c r="F23" s="50"/>
      <c r="G23" s="38"/>
      <c r="H23" s="40"/>
      <c r="I23" s="59"/>
      <c r="J23" s="60"/>
      <c r="K23" s="60"/>
      <c r="L23" s="60"/>
      <c r="M23" s="60"/>
      <c r="N23" s="60"/>
      <c r="O23" s="60"/>
      <c r="P23" s="60"/>
      <c r="Q23" s="60"/>
      <c r="R23" s="59"/>
      <c r="S23" s="59"/>
    </row>
    <row r="24" spans="1:19" ht="16.5">
      <c r="A24" s="50"/>
      <c r="B24" s="50"/>
      <c r="C24" s="50"/>
      <c r="D24" s="61"/>
      <c r="E24" s="50"/>
      <c r="F24" s="50"/>
      <c r="G24" s="38"/>
      <c r="H24" s="40"/>
      <c r="I24" s="59"/>
      <c r="J24" s="60"/>
      <c r="K24" s="60"/>
      <c r="L24" s="60"/>
      <c r="M24" s="60"/>
      <c r="N24" s="60"/>
      <c r="O24" s="60"/>
      <c r="P24" s="60"/>
      <c r="Q24" s="60"/>
      <c r="R24" s="59"/>
      <c r="S24" s="59"/>
    </row>
    <row r="25" spans="1:19" ht="15.75">
      <c r="A25" s="62"/>
      <c r="B25" s="62"/>
      <c r="C25" s="62"/>
      <c r="D25" s="62"/>
      <c r="E25" s="62"/>
      <c r="F25" s="62"/>
      <c r="G25" s="62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ht="15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</sheetData>
  <sheetProtection/>
  <mergeCells count="7">
    <mergeCell ref="J18:P18"/>
    <mergeCell ref="O19:O20"/>
    <mergeCell ref="A5:H5"/>
    <mergeCell ref="J5:R5"/>
    <mergeCell ref="O6:P6"/>
    <mergeCell ref="A3:E3"/>
    <mergeCell ref="A4:E4"/>
  </mergeCells>
  <printOptions horizontalCentered="1"/>
  <pageMargins left="0.7874015748031497" right="0.7874015748031497" top="1.5748031496062993" bottom="0.7874015748031497" header="0.7874015748031497" footer="0.7874015748031497"/>
  <pageSetup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zoomScale="80" zoomScaleNormal="80" workbookViewId="0" topLeftCell="A12">
      <selection activeCell="I33" sqref="I33"/>
    </sheetView>
  </sheetViews>
  <sheetFormatPr defaultColWidth="9.00390625" defaultRowHeight="12.75"/>
  <cols>
    <col min="1" max="1" width="12.125" style="1" customWidth="1"/>
    <col min="2" max="2" width="62.25390625" style="1" customWidth="1"/>
    <col min="3" max="5" width="16.625" style="22" customWidth="1"/>
    <col min="6" max="16384" width="9.125" style="1" customWidth="1"/>
  </cols>
  <sheetData>
    <row r="1" spans="1:5" ht="15.75">
      <c r="A1" s="164" t="s">
        <v>0</v>
      </c>
      <c r="C1" s="3"/>
      <c r="D1" s="3"/>
      <c r="E1" s="2" t="s">
        <v>381</v>
      </c>
    </row>
    <row r="2" spans="3:5" ht="12.75">
      <c r="C2" s="3"/>
      <c r="D2" s="3"/>
      <c r="E2" s="3"/>
    </row>
    <row r="4" spans="1:5" ht="18.75">
      <c r="A4" s="813" t="s">
        <v>829</v>
      </c>
      <c r="B4" s="813"/>
      <c r="C4" s="813"/>
      <c r="D4" s="813"/>
      <c r="E4" s="813"/>
    </row>
    <row r="5" spans="1:5" ht="18.75">
      <c r="A5" s="815" t="s">
        <v>382</v>
      </c>
      <c r="B5" s="815"/>
      <c r="C5" s="815"/>
      <c r="D5" s="815"/>
      <c r="E5" s="815"/>
    </row>
    <row r="6" spans="1:5" ht="19.5" thickBot="1">
      <c r="A6" s="814"/>
      <c r="B6" s="814"/>
      <c r="C6" s="814"/>
      <c r="D6" s="181"/>
      <c r="E6" s="181"/>
    </row>
    <row r="7" spans="1:5" ht="65.25" customHeight="1" thickBot="1" thickTop="1">
      <c r="A7" s="169" t="s">
        <v>354</v>
      </c>
      <c r="B7" s="168" t="s">
        <v>253</v>
      </c>
      <c r="C7" s="170" t="s">
        <v>830</v>
      </c>
      <c r="D7" s="170" t="s">
        <v>468</v>
      </c>
      <c r="E7" s="93" t="s">
        <v>831</v>
      </c>
    </row>
    <row r="8" spans="1:5" ht="15.75" customHeight="1" hidden="1">
      <c r="A8" s="64"/>
      <c r="B8" s="4" t="s">
        <v>24</v>
      </c>
      <c r="C8" s="165"/>
      <c r="D8" s="166"/>
      <c r="E8" s="167"/>
    </row>
    <row r="9" spans="1:5" ht="16.5" customHeight="1" hidden="1" thickBot="1">
      <c r="A9" s="64"/>
      <c r="B9" s="4" t="s">
        <v>13</v>
      </c>
      <c r="C9" s="165"/>
      <c r="D9" s="166"/>
      <c r="E9" s="167"/>
    </row>
    <row r="10" spans="1:5" s="171" customFormat="1" ht="24" customHeight="1" thickTop="1">
      <c r="A10" s="716" t="s">
        <v>26</v>
      </c>
      <c r="B10" s="173" t="s">
        <v>1</v>
      </c>
      <c r="C10" s="174">
        <v>2600000000</v>
      </c>
      <c r="D10" s="174">
        <f>SUM(C10)*101.5/100</f>
        <v>2639000000</v>
      </c>
      <c r="E10" s="717">
        <f>SUM(D10)*101.5/100</f>
        <v>2678585000</v>
      </c>
    </row>
    <row r="11" spans="1:5" s="171" customFormat="1" ht="24" customHeight="1">
      <c r="A11" s="718" t="s">
        <v>36</v>
      </c>
      <c r="B11" s="99" t="s">
        <v>37</v>
      </c>
      <c r="C11" s="101">
        <v>0</v>
      </c>
      <c r="D11" s="101">
        <v>0</v>
      </c>
      <c r="E11" s="719">
        <v>0</v>
      </c>
    </row>
    <row r="12" spans="1:5" s="171" customFormat="1" ht="24" customHeight="1">
      <c r="A12" s="720" t="s">
        <v>39</v>
      </c>
      <c r="B12" s="99" t="s">
        <v>2</v>
      </c>
      <c r="C12" s="100">
        <v>2970000000</v>
      </c>
      <c r="D12" s="103">
        <v>2980000000</v>
      </c>
      <c r="E12" s="721">
        <v>2990000000</v>
      </c>
    </row>
    <row r="13" spans="1:5" s="171" customFormat="1" ht="27" customHeight="1">
      <c r="A13" s="720" t="s">
        <v>42</v>
      </c>
      <c r="B13" s="172" t="s">
        <v>3</v>
      </c>
      <c r="C13" s="100">
        <v>365000000</v>
      </c>
      <c r="D13" s="103">
        <v>370000000</v>
      </c>
      <c r="E13" s="721">
        <v>375000000</v>
      </c>
    </row>
    <row r="14" spans="1:5" s="171" customFormat="1" ht="24" customHeight="1">
      <c r="A14" s="720" t="s">
        <v>50</v>
      </c>
      <c r="B14" s="99" t="s">
        <v>4</v>
      </c>
      <c r="C14" s="103">
        <v>3000000</v>
      </c>
      <c r="D14" s="103">
        <v>2800000</v>
      </c>
      <c r="E14" s="721">
        <v>2700000</v>
      </c>
    </row>
    <row r="15" spans="1:5" s="171" customFormat="1" ht="24" customHeight="1">
      <c r="A15" s="720" t="s">
        <v>51</v>
      </c>
      <c r="B15" s="99" t="s">
        <v>52</v>
      </c>
      <c r="C15" s="101">
        <v>0</v>
      </c>
      <c r="D15" s="101">
        <v>0</v>
      </c>
      <c r="E15" s="719">
        <v>0</v>
      </c>
    </row>
    <row r="16" spans="1:5" s="171" customFormat="1" ht="24" customHeight="1">
      <c r="A16" s="722" t="s">
        <v>54</v>
      </c>
      <c r="B16" s="253" t="s">
        <v>10</v>
      </c>
      <c r="C16" s="254">
        <v>0</v>
      </c>
      <c r="D16" s="254">
        <v>0</v>
      </c>
      <c r="E16" s="723">
        <v>0</v>
      </c>
    </row>
    <row r="17" spans="1:5" ht="24" customHeight="1">
      <c r="A17" s="724"/>
      <c r="B17" s="255" t="s">
        <v>57</v>
      </c>
      <c r="C17" s="102">
        <f>SUM(C10:C16)</f>
        <v>5938000000</v>
      </c>
      <c r="D17" s="102">
        <f>SUM(D10+D12+D13+D14)</f>
        <v>5991800000</v>
      </c>
      <c r="E17" s="725">
        <f>SUM(E10+E12+E13+E14)</f>
        <v>6046285000</v>
      </c>
    </row>
    <row r="18" spans="1:5" s="171" customFormat="1" ht="24" customHeight="1" thickBot="1">
      <c r="A18" s="726" t="s">
        <v>58</v>
      </c>
      <c r="B18" s="175" t="s">
        <v>9</v>
      </c>
      <c r="C18" s="176">
        <v>350000000</v>
      </c>
      <c r="D18" s="176">
        <v>330000000</v>
      </c>
      <c r="E18" s="727">
        <v>370000000</v>
      </c>
    </row>
    <row r="19" spans="1:5" ht="24" customHeight="1" thickBot="1" thickTop="1">
      <c r="A19" s="177"/>
      <c r="B19" s="178" t="s">
        <v>62</v>
      </c>
      <c r="C19" s="179">
        <f>SUM(C17:C18)</f>
        <v>6288000000</v>
      </c>
      <c r="D19" s="179">
        <f>SUM(D17:D18)</f>
        <v>6321800000</v>
      </c>
      <c r="E19" s="108">
        <f>SUM(E17:E18)</f>
        <v>6416285000</v>
      </c>
    </row>
    <row r="20" spans="1:5" ht="14.25" thickBot="1" thickTop="1">
      <c r="A20" s="182"/>
      <c r="B20" s="182"/>
      <c r="C20" s="183"/>
      <c r="D20" s="183"/>
      <c r="E20" s="183"/>
    </row>
    <row r="21" spans="1:5" ht="52.5" customHeight="1" thickBot="1" thickTop="1">
      <c r="A21" s="169" t="s">
        <v>354</v>
      </c>
      <c r="B21" s="168" t="s">
        <v>253</v>
      </c>
      <c r="C21" s="170" t="s">
        <v>830</v>
      </c>
      <c r="D21" s="170" t="s">
        <v>468</v>
      </c>
      <c r="E21" s="93" t="s">
        <v>831</v>
      </c>
    </row>
    <row r="22" spans="1:5" ht="24.75" customHeight="1" thickTop="1">
      <c r="A22" s="603" t="s">
        <v>207</v>
      </c>
      <c r="B22" s="259" t="s">
        <v>344</v>
      </c>
      <c r="C22" s="180">
        <v>2250000000</v>
      </c>
      <c r="D22" s="180">
        <f>SUM(C22*100.5%)</f>
        <v>2261249999.9999995</v>
      </c>
      <c r="E22" s="604">
        <f>SUM(D22)*100.5%</f>
        <v>2272556249.999999</v>
      </c>
    </row>
    <row r="23" spans="1:5" ht="24.75" customHeight="1">
      <c r="A23" s="605" t="s">
        <v>208</v>
      </c>
      <c r="B23" s="96" t="s">
        <v>209</v>
      </c>
      <c r="C23" s="94">
        <v>343000000</v>
      </c>
      <c r="D23" s="94">
        <f>+D22*15.2%</f>
        <v>343709999.99999994</v>
      </c>
      <c r="E23" s="606">
        <f>+E22*15.2%</f>
        <v>345428549.9999998</v>
      </c>
    </row>
    <row r="24" spans="1:5" ht="24.75" customHeight="1">
      <c r="A24" s="605" t="s">
        <v>210</v>
      </c>
      <c r="B24" s="96" t="s">
        <v>345</v>
      </c>
      <c r="C24" s="94">
        <v>2500000000</v>
      </c>
      <c r="D24" s="94">
        <v>2600000000</v>
      </c>
      <c r="E24" s="606">
        <v>2650000000</v>
      </c>
    </row>
    <row r="25" spans="1:5" ht="24.75" customHeight="1">
      <c r="A25" s="728" t="s">
        <v>211</v>
      </c>
      <c r="B25" s="96" t="s">
        <v>346</v>
      </c>
      <c r="C25" s="94"/>
      <c r="D25" s="94"/>
      <c r="E25" s="606"/>
    </row>
    <row r="26" spans="1:5" ht="24.75" customHeight="1">
      <c r="A26" s="729" t="s">
        <v>212</v>
      </c>
      <c r="B26" s="97" t="s">
        <v>213</v>
      </c>
      <c r="C26" s="94">
        <v>170000000</v>
      </c>
      <c r="D26" s="94">
        <v>150350000</v>
      </c>
      <c r="E26" s="606">
        <f>SUM(D26)*101.5/100</f>
        <v>152605250</v>
      </c>
    </row>
    <row r="27" spans="1:5" ht="24.75" customHeight="1">
      <c r="A27" s="729" t="s">
        <v>214</v>
      </c>
      <c r="B27" s="97" t="s">
        <v>215</v>
      </c>
      <c r="C27" s="94"/>
      <c r="D27" s="94"/>
      <c r="E27" s="606"/>
    </row>
    <row r="28" spans="1:5" ht="24.75" customHeight="1">
      <c r="A28" s="729" t="s">
        <v>216</v>
      </c>
      <c r="B28" s="97" t="s">
        <v>77</v>
      </c>
      <c r="C28" s="94">
        <v>707600000</v>
      </c>
      <c r="D28" s="94">
        <v>720500000</v>
      </c>
      <c r="E28" s="606">
        <v>807008206</v>
      </c>
    </row>
    <row r="29" spans="1:5" s="22" customFormat="1" ht="24.75" customHeight="1">
      <c r="A29" s="605" t="s">
        <v>217</v>
      </c>
      <c r="B29" s="96" t="s">
        <v>78</v>
      </c>
      <c r="C29" s="94">
        <v>60000000</v>
      </c>
      <c r="D29" s="94">
        <v>62300000</v>
      </c>
      <c r="E29" s="606">
        <v>65400000</v>
      </c>
    </row>
    <row r="30" spans="1:5" ht="24.75" customHeight="1">
      <c r="A30" s="728" t="s">
        <v>218</v>
      </c>
      <c r="B30" s="96" t="s">
        <v>219</v>
      </c>
      <c r="C30" s="94">
        <v>55000000</v>
      </c>
      <c r="D30" s="94">
        <f>SUM(C30)*45%</f>
        <v>24750000</v>
      </c>
      <c r="E30" s="606">
        <f>SUM(D30)*101.5/100</f>
        <v>25121250</v>
      </c>
    </row>
    <row r="31" spans="1:5" ht="24.75" customHeight="1">
      <c r="A31" s="729"/>
      <c r="B31" s="96" t="s">
        <v>172</v>
      </c>
      <c r="C31" s="94">
        <v>202400000</v>
      </c>
      <c r="D31" s="94">
        <f>139538750+19401250</f>
        <v>158940000</v>
      </c>
      <c r="E31" s="606">
        <v>98165494</v>
      </c>
    </row>
    <row r="32" spans="1:5" ht="24.75" customHeight="1">
      <c r="A32" s="730"/>
      <c r="B32" s="98" t="s">
        <v>220</v>
      </c>
      <c r="C32" s="95">
        <f>SUM(C22:C31)</f>
        <v>6288000000</v>
      </c>
      <c r="D32" s="95">
        <f>SUM(D22+D23+D24+D25+D26+D27+D28+D29+D30+D31)</f>
        <v>6321800000</v>
      </c>
      <c r="E32" s="607">
        <f>SUM(E22+E23+E24+E25+E26+E27+E28+E29+E30+E31)</f>
        <v>6416284999.999999</v>
      </c>
    </row>
    <row r="33" spans="1:5" s="22" customFormat="1" ht="24.75" customHeight="1" thickBot="1">
      <c r="A33" s="731" t="s">
        <v>221</v>
      </c>
      <c r="B33" s="260" t="s">
        <v>222</v>
      </c>
      <c r="C33" s="256">
        <v>0</v>
      </c>
      <c r="D33" s="256">
        <v>0</v>
      </c>
      <c r="E33" s="732">
        <v>0</v>
      </c>
    </row>
    <row r="34" spans="1:5" s="22" customFormat="1" ht="24.75" customHeight="1" thickBot="1" thickTop="1">
      <c r="A34" s="427"/>
      <c r="B34" s="524" t="s">
        <v>223</v>
      </c>
      <c r="C34" s="525">
        <f>SUM(C22+C23+C24+C25+C26+C27+C28+C29+C30+C31)</f>
        <v>6288000000</v>
      </c>
      <c r="D34" s="525">
        <f>SUM(D22+D23+D24+D25+D26+D27+D28+D29+D30+D31)</f>
        <v>6321800000</v>
      </c>
      <c r="E34" s="526">
        <f>SUM(E22+E23+E24+E25+E26+E27+E28+E29+E30+E31)</f>
        <v>6416284999.999999</v>
      </c>
    </row>
    <row r="35" spans="4:5" ht="13.5" thickTop="1">
      <c r="D35" s="23"/>
      <c r="E35" s="23"/>
    </row>
    <row r="36" spans="3:4" ht="12.75">
      <c r="C36" s="23"/>
      <c r="D36" s="23"/>
    </row>
    <row r="37" spans="1:5" ht="12.75">
      <c r="A37" s="1" t="s">
        <v>832</v>
      </c>
      <c r="D37" s="23"/>
      <c r="E37" s="23"/>
    </row>
    <row r="38" ht="12.75">
      <c r="E38" s="23"/>
    </row>
    <row r="40" spans="3:5" ht="12.75">
      <c r="C40" s="23"/>
      <c r="D40" s="23"/>
      <c r="E40" s="23"/>
    </row>
  </sheetData>
  <sheetProtection/>
  <mergeCells count="3">
    <mergeCell ref="A4:E4"/>
    <mergeCell ref="A6:C6"/>
    <mergeCell ref="A5:E5"/>
  </mergeCells>
  <printOptions horizontalCentered="1" verticalCentered="1"/>
  <pageMargins left="0.15748031496062992" right="0.15748031496062992" top="0.5118110236220472" bottom="0.5511811023622047" header="0.11811023622047245" footer="0.31496062992125984"/>
  <pageSetup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27.75390625" style="0" customWidth="1"/>
    <col min="2" max="2" width="32.625" style="0" customWidth="1"/>
    <col min="3" max="3" width="26.75390625" style="0" customWidth="1"/>
    <col min="4" max="4" width="23.25390625" style="0" bestFit="1" customWidth="1"/>
    <col min="5" max="5" width="21.875" style="0" bestFit="1" customWidth="1"/>
    <col min="6" max="6" width="15.125" style="0" bestFit="1" customWidth="1"/>
    <col min="7" max="7" width="14.375" style="0" bestFit="1" customWidth="1"/>
    <col min="8" max="8" width="12.625" style="0" bestFit="1" customWidth="1"/>
    <col min="9" max="9" width="17.25390625" style="0" bestFit="1" customWidth="1"/>
    <col min="10" max="10" width="22.25390625" style="0" customWidth="1"/>
  </cols>
  <sheetData>
    <row r="1" spans="1:10" s="31" customFormat="1" ht="12.75">
      <c r="A1" s="31" t="s">
        <v>353</v>
      </c>
      <c r="J1" s="184" t="s">
        <v>577</v>
      </c>
    </row>
    <row r="2" spans="1:10" ht="18.75">
      <c r="A2" s="816" t="s">
        <v>605</v>
      </c>
      <c r="B2" s="816"/>
      <c r="C2" s="816"/>
      <c r="D2" s="816"/>
      <c r="E2" s="816"/>
      <c r="F2" s="816"/>
      <c r="G2" s="816"/>
      <c r="H2" s="816"/>
      <c r="I2" s="816"/>
      <c r="J2" s="816"/>
    </row>
    <row r="3" ht="13.5" thickBot="1"/>
    <row r="4" spans="1:10" ht="33" thickBot="1" thickTop="1">
      <c r="A4" s="185" t="s">
        <v>288</v>
      </c>
      <c r="B4" s="186" t="s">
        <v>289</v>
      </c>
      <c r="C4" s="186" t="s">
        <v>290</v>
      </c>
      <c r="D4" s="186" t="s">
        <v>291</v>
      </c>
      <c r="E4" s="186" t="s">
        <v>292</v>
      </c>
      <c r="F4" s="186" t="s">
        <v>299</v>
      </c>
      <c r="G4" s="186" t="s">
        <v>293</v>
      </c>
      <c r="H4" s="186" t="s">
        <v>294</v>
      </c>
      <c r="I4" s="186" t="s">
        <v>295</v>
      </c>
      <c r="J4" s="361" t="s">
        <v>606</v>
      </c>
    </row>
    <row r="5" spans="1:10" s="215" customFormat="1" ht="78" customHeight="1" thickTop="1">
      <c r="A5" s="257"/>
      <c r="B5" s="216" t="s">
        <v>296</v>
      </c>
      <c r="C5" s="216" t="s">
        <v>434</v>
      </c>
      <c r="D5" s="213">
        <v>1201264934</v>
      </c>
      <c r="E5" s="213">
        <v>981433451</v>
      </c>
      <c r="F5" s="213">
        <v>219831483</v>
      </c>
      <c r="G5" s="214">
        <v>43364</v>
      </c>
      <c r="H5" s="214">
        <v>44926</v>
      </c>
      <c r="I5" s="214">
        <v>44985</v>
      </c>
      <c r="J5" s="258"/>
    </row>
    <row r="6" spans="1:10" s="215" customFormat="1" ht="30">
      <c r="A6" s="257"/>
      <c r="B6" s="216" t="s">
        <v>297</v>
      </c>
      <c r="C6" s="216" t="s">
        <v>298</v>
      </c>
      <c r="D6" s="213">
        <v>1110000000</v>
      </c>
      <c r="E6" s="213">
        <v>999000000</v>
      </c>
      <c r="F6" s="213">
        <v>111000000</v>
      </c>
      <c r="G6" s="214">
        <v>43364</v>
      </c>
      <c r="H6" s="214">
        <v>44196</v>
      </c>
      <c r="I6" s="214">
        <v>43889</v>
      </c>
      <c r="J6" s="258"/>
    </row>
    <row r="7" spans="1:10" s="401" customFormat="1" ht="30" customHeight="1">
      <c r="A7" s="257"/>
      <c r="B7" s="216" t="s">
        <v>435</v>
      </c>
      <c r="C7" s="216"/>
      <c r="D7" s="400" t="s">
        <v>607</v>
      </c>
      <c r="E7" s="400" t="s">
        <v>607</v>
      </c>
      <c r="F7" s="213">
        <v>0</v>
      </c>
      <c r="G7" s="214">
        <v>43811</v>
      </c>
      <c r="H7" s="214">
        <v>44782</v>
      </c>
      <c r="I7" s="214">
        <v>44782</v>
      </c>
      <c r="J7" s="258"/>
    </row>
    <row r="8" spans="1:10" s="401" customFormat="1" ht="75">
      <c r="A8" s="257" t="s">
        <v>436</v>
      </c>
      <c r="B8" s="216" t="s">
        <v>436</v>
      </c>
      <c r="C8" s="216" t="s">
        <v>437</v>
      </c>
      <c r="D8" s="213"/>
      <c r="E8" s="213">
        <v>2000000</v>
      </c>
      <c r="F8" s="213"/>
      <c r="G8" s="214">
        <v>43831</v>
      </c>
      <c r="H8" s="214">
        <v>44196</v>
      </c>
      <c r="I8" s="214">
        <v>44226</v>
      </c>
      <c r="J8" s="258" t="s">
        <v>608</v>
      </c>
    </row>
    <row r="9" spans="1:10" s="401" customFormat="1" ht="60">
      <c r="A9" s="257" t="s">
        <v>609</v>
      </c>
      <c r="B9" s="216" t="s">
        <v>610</v>
      </c>
      <c r="C9" s="216"/>
      <c r="D9" s="213">
        <v>5171338</v>
      </c>
      <c r="E9" s="213">
        <v>500000</v>
      </c>
      <c r="F9" s="213">
        <v>4671338</v>
      </c>
      <c r="G9" s="214">
        <v>44268</v>
      </c>
      <c r="H9" s="214">
        <v>44439</v>
      </c>
      <c r="I9" s="214">
        <v>44501</v>
      </c>
      <c r="J9" s="258" t="s">
        <v>632</v>
      </c>
    </row>
    <row r="10" spans="1:10" s="401" customFormat="1" ht="45">
      <c r="A10" s="257"/>
      <c r="B10" s="216" t="s">
        <v>622</v>
      </c>
      <c r="C10" s="216"/>
      <c r="D10" s="213">
        <v>30000000</v>
      </c>
      <c r="E10" s="213">
        <v>30000000</v>
      </c>
      <c r="F10" s="213">
        <v>0</v>
      </c>
      <c r="G10" s="214">
        <v>43831</v>
      </c>
      <c r="H10" s="214">
        <v>44530</v>
      </c>
      <c r="I10" s="214">
        <v>44581</v>
      </c>
      <c r="J10" s="258"/>
    </row>
    <row r="11" spans="1:10" s="401" customFormat="1" ht="45">
      <c r="A11" s="257" t="s">
        <v>438</v>
      </c>
      <c r="B11" s="216" t="s">
        <v>439</v>
      </c>
      <c r="C11" s="216"/>
      <c r="D11" s="213">
        <v>88201252</v>
      </c>
      <c r="E11" s="213">
        <v>40000000</v>
      </c>
      <c r="F11" s="213">
        <v>48201252</v>
      </c>
      <c r="G11" s="214">
        <v>43986</v>
      </c>
      <c r="H11" s="214">
        <v>44561</v>
      </c>
      <c r="I11" s="214">
        <v>44620</v>
      </c>
      <c r="J11" s="258"/>
    </row>
    <row r="12" spans="1:10" s="401" customFormat="1" ht="30">
      <c r="A12" s="257" t="s">
        <v>440</v>
      </c>
      <c r="B12" s="216" t="s">
        <v>441</v>
      </c>
      <c r="C12" s="216"/>
      <c r="D12" s="213">
        <v>3000000</v>
      </c>
      <c r="E12" s="213">
        <v>3000000</v>
      </c>
      <c r="F12" s="213">
        <v>0</v>
      </c>
      <c r="G12" s="214" t="s">
        <v>442</v>
      </c>
      <c r="H12" s="214">
        <v>44561</v>
      </c>
      <c r="I12" s="214">
        <v>44592</v>
      </c>
      <c r="J12" s="258"/>
    </row>
    <row r="13" spans="1:10" s="401" customFormat="1" ht="45">
      <c r="A13" s="257" t="s">
        <v>443</v>
      </c>
      <c r="B13" s="216" t="s">
        <v>444</v>
      </c>
      <c r="C13" s="216"/>
      <c r="D13" s="213">
        <v>4299000</v>
      </c>
      <c r="E13" s="213">
        <v>1299000</v>
      </c>
      <c r="F13" s="213">
        <v>3000000</v>
      </c>
      <c r="G13" s="214" t="s">
        <v>442</v>
      </c>
      <c r="H13" s="214">
        <v>44741</v>
      </c>
      <c r="I13" s="214">
        <v>44772</v>
      </c>
      <c r="J13" s="258"/>
    </row>
    <row r="14" spans="1:10" s="401" customFormat="1" ht="21" customHeight="1">
      <c r="A14" s="257" t="s">
        <v>611</v>
      </c>
      <c r="B14" s="216" t="s">
        <v>612</v>
      </c>
      <c r="C14" s="216"/>
      <c r="D14" s="213">
        <v>7500000</v>
      </c>
      <c r="E14" s="213">
        <v>7500000</v>
      </c>
      <c r="F14" s="213">
        <v>0</v>
      </c>
      <c r="G14" s="214">
        <v>44378</v>
      </c>
      <c r="H14" s="214">
        <v>44742</v>
      </c>
      <c r="I14" s="214">
        <v>44822</v>
      </c>
      <c r="J14" s="258"/>
    </row>
    <row r="15" spans="1:10" s="401" customFormat="1" ht="30">
      <c r="A15" s="257" t="s">
        <v>613</v>
      </c>
      <c r="B15" s="216" t="s">
        <v>614</v>
      </c>
      <c r="C15" s="216" t="s">
        <v>615</v>
      </c>
      <c r="D15" s="213">
        <v>61538461</v>
      </c>
      <c r="E15" s="213">
        <v>40000000</v>
      </c>
      <c r="F15" s="213">
        <v>21538461</v>
      </c>
      <c r="G15" s="214">
        <v>44230</v>
      </c>
      <c r="H15" s="214">
        <v>44926</v>
      </c>
      <c r="I15" s="214">
        <v>44985</v>
      </c>
      <c r="J15" s="258"/>
    </row>
    <row r="16" spans="1:10" s="401" customFormat="1" ht="66" customHeight="1">
      <c r="A16" s="257" t="s">
        <v>616</v>
      </c>
      <c r="B16" s="216" t="s">
        <v>617</v>
      </c>
      <c r="C16" s="216" t="s">
        <v>618</v>
      </c>
      <c r="D16" s="213">
        <v>1023474</v>
      </c>
      <c r="E16" s="213">
        <v>300000</v>
      </c>
      <c r="F16" s="213">
        <v>723474</v>
      </c>
      <c r="G16" s="214">
        <v>44348</v>
      </c>
      <c r="H16" s="214">
        <v>44651</v>
      </c>
      <c r="I16" s="214">
        <v>44711</v>
      </c>
      <c r="J16" s="258"/>
    </row>
    <row r="17" spans="1:10" s="401" customFormat="1" ht="90">
      <c r="A17" s="257" t="s">
        <v>619</v>
      </c>
      <c r="B17" s="216" t="s">
        <v>620</v>
      </c>
      <c r="C17" s="216" t="s">
        <v>621</v>
      </c>
      <c r="D17" s="213">
        <v>56000000</v>
      </c>
      <c r="E17" s="213">
        <v>56000000</v>
      </c>
      <c r="F17" s="213">
        <v>0</v>
      </c>
      <c r="G17" s="214">
        <v>44439</v>
      </c>
      <c r="H17" s="214">
        <v>44651</v>
      </c>
      <c r="I17" s="214">
        <v>45046</v>
      </c>
      <c r="J17" s="258"/>
    </row>
    <row r="18" spans="1:10" s="401" customFormat="1" ht="76.5" customHeight="1">
      <c r="A18" s="257" t="s">
        <v>623</v>
      </c>
      <c r="B18" s="216" t="s">
        <v>625</v>
      </c>
      <c r="C18" s="216" t="s">
        <v>624</v>
      </c>
      <c r="D18" s="213">
        <v>600000000</v>
      </c>
      <c r="E18" s="213">
        <v>600000000</v>
      </c>
      <c r="F18" s="213">
        <v>0</v>
      </c>
      <c r="G18" s="214">
        <v>44197</v>
      </c>
      <c r="H18" s="214">
        <v>44926</v>
      </c>
      <c r="I18" s="214">
        <v>44957</v>
      </c>
      <c r="J18" s="258"/>
    </row>
    <row r="19" spans="1:10" s="401" customFormat="1" ht="66" customHeight="1">
      <c r="A19" s="257" t="s">
        <v>626</v>
      </c>
      <c r="B19" s="216" t="s">
        <v>627</v>
      </c>
      <c r="C19" s="216" t="s">
        <v>628</v>
      </c>
      <c r="D19" s="213">
        <v>746634779</v>
      </c>
      <c r="E19" s="213">
        <v>600000000</v>
      </c>
      <c r="F19" s="213">
        <v>146634779</v>
      </c>
      <c r="G19" s="214">
        <v>44442</v>
      </c>
      <c r="H19" s="214">
        <v>45077</v>
      </c>
      <c r="I19" s="214">
        <v>45107</v>
      </c>
      <c r="J19" s="258"/>
    </row>
    <row r="20" spans="1:10" s="401" customFormat="1" ht="76.5" customHeight="1">
      <c r="A20" s="257" t="s">
        <v>630</v>
      </c>
      <c r="B20" s="216" t="s">
        <v>629</v>
      </c>
      <c r="C20" s="216"/>
      <c r="D20" s="213">
        <v>27940000</v>
      </c>
      <c r="E20" s="213">
        <v>27940000</v>
      </c>
      <c r="F20" s="213">
        <v>0</v>
      </c>
      <c r="G20" s="214"/>
      <c r="H20" s="214"/>
      <c r="I20" s="214"/>
      <c r="J20" s="258" t="s">
        <v>631</v>
      </c>
    </row>
    <row r="21" spans="1:10" s="401" customFormat="1" ht="66" customHeight="1">
      <c r="A21" s="257" t="s">
        <v>661</v>
      </c>
      <c r="B21" s="216" t="s">
        <v>666</v>
      </c>
      <c r="C21" s="216" t="s">
        <v>662</v>
      </c>
      <c r="D21" s="213"/>
      <c r="E21" s="213">
        <v>10000000</v>
      </c>
      <c r="F21" s="213"/>
      <c r="G21" s="214">
        <v>44562</v>
      </c>
      <c r="H21" s="214">
        <v>44681</v>
      </c>
      <c r="I21" s="214"/>
      <c r="J21" s="258" t="s">
        <v>667</v>
      </c>
    </row>
    <row r="22" spans="1:10" s="401" customFormat="1" ht="76.5" customHeight="1">
      <c r="A22" s="257" t="s">
        <v>663</v>
      </c>
      <c r="B22" s="216" t="s">
        <v>664</v>
      </c>
      <c r="C22" s="216" t="s">
        <v>665</v>
      </c>
      <c r="D22" s="213">
        <v>10000000</v>
      </c>
      <c r="E22" s="213">
        <v>10000000</v>
      </c>
      <c r="F22" s="213">
        <v>0</v>
      </c>
      <c r="G22" s="214">
        <v>44562</v>
      </c>
      <c r="H22" s="214">
        <v>44742</v>
      </c>
      <c r="I22" s="214">
        <v>44822</v>
      </c>
      <c r="J22" s="258"/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57"/>
  <sheetViews>
    <sheetView zoomScale="80" zoomScaleNormal="80" zoomScalePageLayoutView="0" workbookViewId="0" topLeftCell="A28">
      <selection activeCell="M35" sqref="M35"/>
    </sheetView>
  </sheetViews>
  <sheetFormatPr defaultColWidth="9.00390625" defaultRowHeight="12.75"/>
  <cols>
    <col min="1" max="1" width="8.375" style="107" customWidth="1"/>
    <col min="2" max="2" width="13.25390625" style="235" customWidth="1"/>
    <col min="3" max="3" width="95.875" style="18" bestFit="1" customWidth="1"/>
    <col min="4" max="4" width="19.25390625" style="536" customWidth="1"/>
    <col min="5" max="5" width="15.00390625" style="237" customWidth="1"/>
    <col min="6" max="6" width="13.375" style="237" customWidth="1"/>
    <col min="7" max="7" width="11.375" style="237" customWidth="1"/>
    <col min="8" max="9" width="9.125" style="18" customWidth="1"/>
    <col min="10" max="10" width="20.25390625" style="18" bestFit="1" customWidth="1"/>
    <col min="11" max="11" width="18.75390625" style="18" bestFit="1" customWidth="1"/>
    <col min="12" max="12" width="9.125" style="18" customWidth="1"/>
    <col min="13" max="13" width="17.375" style="18" bestFit="1" customWidth="1"/>
    <col min="14" max="16384" width="9.125" style="18" customWidth="1"/>
  </cols>
  <sheetData>
    <row r="1" spans="1:7" ht="15.75">
      <c r="A1" s="218"/>
      <c r="B1" s="219"/>
      <c r="D1" s="530"/>
      <c r="E1" s="220"/>
      <c r="G1" s="220" t="s">
        <v>355</v>
      </c>
    </row>
    <row r="2" spans="1:7" ht="15.75">
      <c r="A2" s="742" t="s">
        <v>839</v>
      </c>
      <c r="B2" s="742"/>
      <c r="C2" s="742"/>
      <c r="D2" s="742"/>
      <c r="E2" s="742"/>
      <c r="F2" s="742"/>
      <c r="G2" s="742"/>
    </row>
    <row r="3" spans="1:7" ht="15.75">
      <c r="A3" s="743" t="s">
        <v>497</v>
      </c>
      <c r="B3" s="743"/>
      <c r="C3" s="743"/>
      <c r="D3" s="743"/>
      <c r="E3" s="743"/>
      <c r="F3" s="743"/>
      <c r="G3" s="743"/>
    </row>
    <row r="4" spans="1:7" ht="15.75">
      <c r="A4" s="744" t="s">
        <v>63</v>
      </c>
      <c r="B4" s="744"/>
      <c r="C4" s="744"/>
      <c r="D4" s="744"/>
      <c r="E4" s="744"/>
      <c r="F4" s="744"/>
      <c r="G4" s="744"/>
    </row>
    <row r="5" spans="1:7" ht="16.5" thickBot="1">
      <c r="A5" s="221"/>
      <c r="B5" s="221"/>
      <c r="C5" s="221"/>
      <c r="D5" s="531"/>
      <c r="E5" s="221"/>
      <c r="F5" s="221"/>
      <c r="G5" s="221"/>
    </row>
    <row r="6" spans="1:7" ht="27.75" customHeight="1" thickTop="1">
      <c r="A6" s="745" t="s">
        <v>23</v>
      </c>
      <c r="B6" s="747" t="s">
        <v>354</v>
      </c>
      <c r="C6" s="749" t="s">
        <v>253</v>
      </c>
      <c r="D6" s="747" t="s">
        <v>496</v>
      </c>
      <c r="E6" s="739" t="s">
        <v>571</v>
      </c>
      <c r="F6" s="740"/>
      <c r="G6" s="741"/>
    </row>
    <row r="7" spans="1:7" ht="32.25" customHeight="1" thickBot="1">
      <c r="A7" s="746"/>
      <c r="B7" s="748"/>
      <c r="C7" s="750"/>
      <c r="D7" s="748"/>
      <c r="E7" s="313" t="s">
        <v>532</v>
      </c>
      <c r="F7" s="314" t="s">
        <v>572</v>
      </c>
      <c r="G7" s="315" t="s">
        <v>534</v>
      </c>
    </row>
    <row r="8" spans="1:7" ht="31.5" customHeight="1" thickTop="1">
      <c r="A8" s="295"/>
      <c r="B8" s="296"/>
      <c r="C8" s="309" t="s">
        <v>3</v>
      </c>
      <c r="D8" s="527"/>
      <c r="E8" s="296"/>
      <c r="F8" s="296"/>
      <c r="G8" s="297"/>
    </row>
    <row r="9" spans="1:7" ht="20.25" customHeight="1">
      <c r="A9" s="298"/>
      <c r="B9" s="299"/>
      <c r="C9" s="104" t="s">
        <v>483</v>
      </c>
      <c r="D9" s="528"/>
      <c r="E9" s="299"/>
      <c r="F9" s="299"/>
      <c r="G9" s="300"/>
    </row>
    <row r="10" spans="1:10" ht="24" customHeight="1">
      <c r="A10" s="301"/>
      <c r="B10" s="222" t="s">
        <v>28</v>
      </c>
      <c r="C10" s="223" t="s">
        <v>480</v>
      </c>
      <c r="D10" s="100">
        <v>784440709</v>
      </c>
      <c r="E10" s="100">
        <v>784440709</v>
      </c>
      <c r="F10" s="100"/>
      <c r="G10" s="302"/>
      <c r="H10" s="6"/>
      <c r="I10" s="6"/>
      <c r="J10" s="6"/>
    </row>
    <row r="11" spans="1:10" ht="24" customHeight="1">
      <c r="A11" s="301"/>
      <c r="B11" s="222" t="s">
        <v>28</v>
      </c>
      <c r="C11" s="223" t="s">
        <v>670</v>
      </c>
      <c r="D11" s="100">
        <v>12839060</v>
      </c>
      <c r="E11" s="100">
        <v>12839060</v>
      </c>
      <c r="F11" s="100"/>
      <c r="G11" s="302"/>
      <c r="H11" s="6"/>
      <c r="I11" s="6"/>
      <c r="J11" s="6"/>
    </row>
    <row r="12" spans="1:7" ht="24.75" customHeight="1">
      <c r="A12" s="301"/>
      <c r="B12" s="224" t="s">
        <v>29</v>
      </c>
      <c r="C12" s="225" t="s">
        <v>30</v>
      </c>
      <c r="D12" s="100">
        <v>889492100</v>
      </c>
      <c r="E12" s="100">
        <v>889492100</v>
      </c>
      <c r="F12" s="100"/>
      <c r="G12" s="302"/>
    </row>
    <row r="13" spans="1:7" ht="24.75" customHeight="1">
      <c r="A13" s="301"/>
      <c r="B13" s="224" t="s">
        <v>29</v>
      </c>
      <c r="C13" s="225" t="s">
        <v>671</v>
      </c>
      <c r="D13" s="100">
        <v>104622210</v>
      </c>
      <c r="E13" s="100">
        <v>104622210</v>
      </c>
      <c r="F13" s="100"/>
      <c r="G13" s="302"/>
    </row>
    <row r="14" spans="1:7" ht="24.75" customHeight="1">
      <c r="A14" s="301"/>
      <c r="B14" s="224" t="s">
        <v>427</v>
      </c>
      <c r="C14" s="225" t="s">
        <v>668</v>
      </c>
      <c r="D14" s="100">
        <v>369303820</v>
      </c>
      <c r="E14" s="100">
        <f>320009171+49294649</f>
        <v>369303820</v>
      </c>
      <c r="F14" s="100"/>
      <c r="G14" s="302"/>
    </row>
    <row r="15" spans="1:7" ht="24.75" customHeight="1">
      <c r="A15" s="301"/>
      <c r="B15" s="224" t="s">
        <v>427</v>
      </c>
      <c r="C15" s="225" t="s">
        <v>669</v>
      </c>
      <c r="D15" s="100">
        <v>77810560</v>
      </c>
      <c r="E15" s="100">
        <v>77810560</v>
      </c>
      <c r="F15" s="100"/>
      <c r="G15" s="302"/>
    </row>
    <row r="16" spans="1:7" ht="24.75" customHeight="1">
      <c r="A16" s="301"/>
      <c r="B16" s="224" t="s">
        <v>428</v>
      </c>
      <c r="C16" s="225" t="s">
        <v>429</v>
      </c>
      <c r="D16" s="100">
        <v>234897913</v>
      </c>
      <c r="E16" s="100">
        <v>234897913</v>
      </c>
      <c r="F16" s="100"/>
      <c r="G16" s="302"/>
    </row>
    <row r="17" spans="1:7" ht="24.75" customHeight="1">
      <c r="A17" s="301"/>
      <c r="B17" s="224" t="s">
        <v>428</v>
      </c>
      <c r="C17" s="225" t="s">
        <v>672</v>
      </c>
      <c r="D17" s="100">
        <v>14472549</v>
      </c>
      <c r="E17" s="100">
        <v>14472549</v>
      </c>
      <c r="F17" s="100"/>
      <c r="G17" s="302"/>
    </row>
    <row r="18" spans="1:7" ht="24.75" customHeight="1">
      <c r="A18" s="301"/>
      <c r="B18" s="224" t="s">
        <v>33</v>
      </c>
      <c r="C18" s="225" t="s">
        <v>269</v>
      </c>
      <c r="D18" s="100">
        <v>96869649</v>
      </c>
      <c r="E18" s="100">
        <v>96869649</v>
      </c>
      <c r="F18" s="100"/>
      <c r="G18" s="302"/>
    </row>
    <row r="19" spans="1:7" ht="24.75" customHeight="1">
      <c r="A19" s="301"/>
      <c r="B19" s="224"/>
      <c r="C19" s="228" t="s">
        <v>482</v>
      </c>
      <c r="D19" s="100"/>
      <c r="E19" s="100"/>
      <c r="F19" s="100"/>
      <c r="G19" s="302"/>
    </row>
    <row r="20" spans="1:10" ht="24.75" customHeight="1">
      <c r="A20" s="301"/>
      <c r="B20" s="224" t="s">
        <v>35</v>
      </c>
      <c r="C20" s="225" t="s">
        <v>481</v>
      </c>
      <c r="D20" s="529">
        <v>18083654</v>
      </c>
      <c r="E20" s="100">
        <v>8083654</v>
      </c>
      <c r="F20" s="100">
        <v>10000000</v>
      </c>
      <c r="G20" s="302"/>
      <c r="H20" s="6"/>
      <c r="I20" s="6"/>
      <c r="J20" s="6"/>
    </row>
    <row r="21" spans="1:7" s="7" customFormat="1" ht="24.75" customHeight="1">
      <c r="A21" s="305"/>
      <c r="B21" s="229"/>
      <c r="C21" s="228" t="s">
        <v>2</v>
      </c>
      <c r="D21" s="102"/>
      <c r="E21" s="100"/>
      <c r="F21" s="100"/>
      <c r="G21" s="302"/>
    </row>
    <row r="22" spans="1:10" ht="24.75" customHeight="1">
      <c r="A22" s="301"/>
      <c r="B22" s="224" t="s">
        <v>40</v>
      </c>
      <c r="C22" s="223" t="s">
        <v>5</v>
      </c>
      <c r="D22" s="230"/>
      <c r="E22" s="100"/>
      <c r="F22" s="100"/>
      <c r="G22" s="302"/>
      <c r="H22" s="6"/>
      <c r="I22" s="6"/>
      <c r="J22" s="6"/>
    </row>
    <row r="23" spans="1:7" ht="24.75" customHeight="1">
      <c r="A23" s="301"/>
      <c r="B23" s="224"/>
      <c r="C23" s="225" t="s">
        <v>484</v>
      </c>
      <c r="D23" s="100">
        <v>700000000</v>
      </c>
      <c r="E23" s="100">
        <v>700000000</v>
      </c>
      <c r="F23" s="100"/>
      <c r="G23" s="302"/>
    </row>
    <row r="24" spans="1:7" ht="24.75" customHeight="1">
      <c r="A24" s="301"/>
      <c r="B24" s="224"/>
      <c r="C24" s="225" t="s">
        <v>485</v>
      </c>
      <c r="D24" s="100">
        <v>230000000</v>
      </c>
      <c r="E24" s="100">
        <v>230000000</v>
      </c>
      <c r="F24" s="100"/>
      <c r="G24" s="302"/>
    </row>
    <row r="25" spans="1:7" ht="24.75" customHeight="1">
      <c r="A25" s="301"/>
      <c r="B25" s="224" t="s">
        <v>270</v>
      </c>
      <c r="C25" s="223" t="s">
        <v>6</v>
      </c>
      <c r="D25" s="102"/>
      <c r="E25" s="102"/>
      <c r="F25" s="100"/>
      <c r="G25" s="302"/>
    </row>
    <row r="26" spans="1:7" ht="24.75" customHeight="1">
      <c r="A26" s="301"/>
      <c r="B26" s="224"/>
      <c r="C26" s="225" t="s">
        <v>486</v>
      </c>
      <c r="D26" s="100">
        <v>2000000000</v>
      </c>
      <c r="E26" s="100">
        <v>2000000000</v>
      </c>
      <c r="F26" s="100"/>
      <c r="G26" s="302"/>
    </row>
    <row r="27" spans="1:7" s="7" customFormat="1" ht="24.75" customHeight="1">
      <c r="A27" s="301"/>
      <c r="B27" s="222" t="s">
        <v>41</v>
      </c>
      <c r="C27" s="223" t="s">
        <v>7</v>
      </c>
      <c r="D27" s="103"/>
      <c r="E27" s="103"/>
      <c r="F27" s="100"/>
      <c r="G27" s="302"/>
    </row>
    <row r="28" spans="1:7" s="7" customFormat="1" ht="24.75" customHeight="1">
      <c r="A28" s="301"/>
      <c r="B28" s="222"/>
      <c r="C28" s="294" t="s">
        <v>487</v>
      </c>
      <c r="D28" s="103">
        <v>30000000</v>
      </c>
      <c r="E28" s="103">
        <v>30000000</v>
      </c>
      <c r="F28" s="100"/>
      <c r="G28" s="302"/>
    </row>
    <row r="29" spans="1:7" s="7" customFormat="1" ht="24.75" customHeight="1">
      <c r="A29" s="301"/>
      <c r="B29" s="222"/>
      <c r="C29" s="294" t="s">
        <v>488</v>
      </c>
      <c r="D29" s="103">
        <v>4000000</v>
      </c>
      <c r="E29" s="103">
        <v>4000000</v>
      </c>
      <c r="F29" s="100"/>
      <c r="G29" s="302"/>
    </row>
    <row r="30" spans="1:7" s="7" customFormat="1" ht="24.75" customHeight="1">
      <c r="A30" s="301"/>
      <c r="B30" s="229"/>
      <c r="C30" s="104" t="s">
        <v>3</v>
      </c>
      <c r="D30" s="103"/>
      <c r="E30" s="100"/>
      <c r="F30" s="100"/>
      <c r="G30" s="302"/>
    </row>
    <row r="31" spans="1:7" s="7" customFormat="1" ht="24.75" customHeight="1">
      <c r="A31" s="301"/>
      <c r="B31" s="231" t="s">
        <v>43</v>
      </c>
      <c r="C31" s="223" t="s">
        <v>44</v>
      </c>
      <c r="D31" s="100">
        <v>12210000</v>
      </c>
      <c r="E31" s="100">
        <f>+D31-G31</f>
        <v>8810000</v>
      </c>
      <c r="F31" s="100"/>
      <c r="G31" s="302">
        <v>3400000</v>
      </c>
    </row>
    <row r="32" spans="1:7" ht="24.75" customHeight="1">
      <c r="A32" s="301"/>
      <c r="B32" s="224" t="s">
        <v>43</v>
      </c>
      <c r="C32" s="223" t="s">
        <v>489</v>
      </c>
      <c r="D32" s="100">
        <v>8592088</v>
      </c>
      <c r="E32" s="100">
        <f aca="true" t="shared" si="0" ref="E32:E38">+D32-G32</f>
        <v>8592088</v>
      </c>
      <c r="F32" s="100"/>
      <c r="G32" s="302"/>
    </row>
    <row r="33" spans="1:10" ht="24.75" customHeight="1">
      <c r="A33" s="301"/>
      <c r="B33" s="224" t="s">
        <v>43</v>
      </c>
      <c r="C33" s="223" t="s">
        <v>490</v>
      </c>
      <c r="D33" s="103">
        <f>41233790+53168</f>
        <v>41286958</v>
      </c>
      <c r="E33" s="100">
        <f>+D33-F33</f>
        <v>34814445</v>
      </c>
      <c r="F33" s="100">
        <v>6472513</v>
      </c>
      <c r="G33" s="302"/>
      <c r="H33" s="6"/>
      <c r="I33" s="6"/>
      <c r="J33" s="6"/>
    </row>
    <row r="34" spans="1:10" ht="24.75" customHeight="1">
      <c r="A34" s="301"/>
      <c r="B34" s="224" t="s">
        <v>45</v>
      </c>
      <c r="C34" s="223" t="s">
        <v>46</v>
      </c>
      <c r="D34" s="103">
        <v>629920</v>
      </c>
      <c r="E34" s="100">
        <f t="shared" si="0"/>
        <v>629920</v>
      </c>
      <c r="F34" s="100"/>
      <c r="G34" s="302"/>
      <c r="H34" s="6"/>
      <c r="I34" s="6"/>
      <c r="J34" s="6"/>
    </row>
    <row r="35" spans="1:10" ht="24.75" customHeight="1">
      <c r="A35" s="301"/>
      <c r="B35" s="224" t="s">
        <v>271</v>
      </c>
      <c r="C35" s="223" t="s">
        <v>272</v>
      </c>
      <c r="D35" s="103">
        <v>205194032</v>
      </c>
      <c r="E35" s="100">
        <f t="shared" si="0"/>
        <v>205194032</v>
      </c>
      <c r="F35" s="100"/>
      <c r="G35" s="302"/>
      <c r="H35" s="6"/>
      <c r="I35" s="6"/>
      <c r="J35" s="6"/>
    </row>
    <row r="36" spans="1:10" ht="24.75" customHeight="1">
      <c r="A36" s="301"/>
      <c r="B36" s="224" t="s">
        <v>47</v>
      </c>
      <c r="C36" s="223" t="s">
        <v>8</v>
      </c>
      <c r="D36" s="344">
        <v>61507721</v>
      </c>
      <c r="E36" s="100">
        <f t="shared" si="0"/>
        <v>60589721</v>
      </c>
      <c r="F36" s="100"/>
      <c r="G36" s="302">
        <v>918000</v>
      </c>
      <c r="H36" s="6"/>
      <c r="I36" s="6"/>
      <c r="J36" s="6"/>
    </row>
    <row r="37" spans="1:10" ht="24.75" customHeight="1">
      <c r="A37" s="301"/>
      <c r="B37" s="224" t="s">
        <v>273</v>
      </c>
      <c r="C37" s="223" t="s">
        <v>274</v>
      </c>
      <c r="D37" s="100">
        <v>19442000</v>
      </c>
      <c r="E37" s="100">
        <f t="shared" si="0"/>
        <v>19442000</v>
      </c>
      <c r="F37" s="100"/>
      <c r="G37" s="302"/>
      <c r="H37" s="6"/>
      <c r="I37" s="6"/>
      <c r="J37" s="6"/>
    </row>
    <row r="38" spans="1:10" ht="24.75" customHeight="1">
      <c r="A38" s="301"/>
      <c r="B38" s="224" t="s">
        <v>48</v>
      </c>
      <c r="C38" s="223" t="s">
        <v>49</v>
      </c>
      <c r="D38" s="100">
        <v>16000000</v>
      </c>
      <c r="E38" s="100">
        <f t="shared" si="0"/>
        <v>16000000</v>
      </c>
      <c r="F38" s="100"/>
      <c r="G38" s="302"/>
      <c r="H38" s="6"/>
      <c r="I38" s="6"/>
      <c r="J38" s="6"/>
    </row>
    <row r="39" spans="1:10" ht="24.75" customHeight="1">
      <c r="A39" s="301"/>
      <c r="B39" s="224" t="s">
        <v>277</v>
      </c>
      <c r="C39" s="223" t="s">
        <v>278</v>
      </c>
      <c r="D39" s="100"/>
      <c r="E39" s="100"/>
      <c r="F39" s="100"/>
      <c r="G39" s="302"/>
      <c r="H39" s="6"/>
      <c r="I39" s="6"/>
      <c r="J39" s="6"/>
    </row>
    <row r="40" spans="1:10" ht="24.75" customHeight="1">
      <c r="A40" s="305" t="s">
        <v>22</v>
      </c>
      <c r="B40" s="224"/>
      <c r="C40" s="308" t="s">
        <v>491</v>
      </c>
      <c r="D40" s="230">
        <f>SUM(D8:D39)</f>
        <v>5931694943</v>
      </c>
      <c r="E40" s="230">
        <f>SUM(E8:E39)</f>
        <v>5910904430</v>
      </c>
      <c r="F40" s="230">
        <f>SUM(F8:F39)</f>
        <v>16472513</v>
      </c>
      <c r="G40" s="306">
        <f>SUM(G8:G39)</f>
        <v>4318000</v>
      </c>
      <c r="H40" s="6"/>
      <c r="I40" s="6"/>
      <c r="J40" s="6"/>
    </row>
    <row r="41" spans="1:10" ht="24.75" customHeight="1">
      <c r="A41" s="301"/>
      <c r="B41" s="229"/>
      <c r="C41" s="308" t="s">
        <v>4</v>
      </c>
      <c r="D41" s="103"/>
      <c r="E41" s="100"/>
      <c r="F41" s="101"/>
      <c r="G41" s="302"/>
      <c r="H41" s="6"/>
      <c r="I41" s="6"/>
      <c r="J41" s="6"/>
    </row>
    <row r="42" spans="1:10" s="7" customFormat="1" ht="24.75" customHeight="1">
      <c r="A42" s="301"/>
      <c r="B42" s="231" t="s">
        <v>677</v>
      </c>
      <c r="C42" s="223" t="s">
        <v>653</v>
      </c>
      <c r="D42" s="103">
        <v>3125057</v>
      </c>
      <c r="E42" s="100">
        <v>3125057</v>
      </c>
      <c r="F42" s="101"/>
      <c r="G42" s="302"/>
      <c r="H42" s="106"/>
      <c r="I42" s="106"/>
      <c r="J42" s="106"/>
    </row>
    <row r="43" spans="1:10" ht="24.75" customHeight="1">
      <c r="A43" s="305" t="s">
        <v>70</v>
      </c>
      <c r="B43" s="231"/>
      <c r="C43" s="308" t="s">
        <v>492</v>
      </c>
      <c r="D43" s="230">
        <f>SUM(D42)</f>
        <v>3125057</v>
      </c>
      <c r="E43" s="230">
        <f>SUM(E42)</f>
        <v>3125057</v>
      </c>
      <c r="F43" s="226">
        <f>SUM(F42)</f>
        <v>0</v>
      </c>
      <c r="G43" s="303">
        <f>SUM(G42)</f>
        <v>0</v>
      </c>
      <c r="H43" s="6"/>
      <c r="I43" s="6"/>
      <c r="J43" s="6"/>
    </row>
    <row r="44" spans="1:10" ht="24.75" customHeight="1">
      <c r="A44" s="301"/>
      <c r="B44" s="232"/>
      <c r="C44" s="308" t="s">
        <v>493</v>
      </c>
      <c r="D44" s="360">
        <f>+D43+D40</f>
        <v>5934820000</v>
      </c>
      <c r="E44" s="360">
        <f>+E43+E40</f>
        <v>5914029487</v>
      </c>
      <c r="F44" s="360">
        <f>+F43+F40</f>
        <v>16472513</v>
      </c>
      <c r="G44" s="537">
        <f>+G43+G40</f>
        <v>4318000</v>
      </c>
      <c r="H44" s="6"/>
      <c r="I44" s="6"/>
      <c r="J44" s="6"/>
    </row>
    <row r="45" spans="1:10" ht="24.75" customHeight="1">
      <c r="A45" s="305"/>
      <c r="B45" s="227"/>
      <c r="C45" s="293" t="s">
        <v>9</v>
      </c>
      <c r="D45" s="344"/>
      <c r="E45" s="100"/>
      <c r="F45" s="100"/>
      <c r="G45" s="302"/>
      <c r="H45" s="6"/>
      <c r="I45" s="6"/>
      <c r="J45" s="6"/>
    </row>
    <row r="46" spans="1:10" ht="24.75" customHeight="1">
      <c r="A46" s="301"/>
      <c r="B46" s="231" t="s">
        <v>276</v>
      </c>
      <c r="C46" s="223" t="s">
        <v>59</v>
      </c>
      <c r="D46" s="100">
        <f>967580000-23300000</f>
        <v>944280000</v>
      </c>
      <c r="E46" s="100">
        <f>967580000-23300000</f>
        <v>944280000</v>
      </c>
      <c r="F46" s="100"/>
      <c r="G46" s="302"/>
      <c r="H46" s="6"/>
      <c r="I46" s="6"/>
      <c r="J46" s="6"/>
    </row>
    <row r="47" spans="1:10" s="7" customFormat="1" ht="24.75" customHeight="1">
      <c r="A47" s="301"/>
      <c r="B47" s="231" t="s">
        <v>60</v>
      </c>
      <c r="C47" s="223" t="s">
        <v>61</v>
      </c>
      <c r="D47" s="103">
        <v>2395000000</v>
      </c>
      <c r="E47" s="100">
        <v>2395000000</v>
      </c>
      <c r="F47" s="100"/>
      <c r="G47" s="302"/>
      <c r="H47" s="106"/>
      <c r="I47" s="106"/>
      <c r="J47" s="106"/>
    </row>
    <row r="48" spans="1:10" ht="24.75" customHeight="1" thickBot="1">
      <c r="A48" s="597" t="s">
        <v>479</v>
      </c>
      <c r="B48" s="598"/>
      <c r="C48" s="538" t="s">
        <v>494</v>
      </c>
      <c r="D48" s="599">
        <f>SUM(D46:D47)</f>
        <v>3339280000</v>
      </c>
      <c r="E48" s="599">
        <f>SUM(E46:E47)</f>
        <v>3339280000</v>
      </c>
      <c r="F48" s="599"/>
      <c r="G48" s="600"/>
      <c r="H48" s="6"/>
      <c r="I48" s="6"/>
      <c r="J48" s="6"/>
    </row>
    <row r="49" spans="1:10" ht="24.75" customHeight="1" thickBot="1" thickTop="1">
      <c r="A49" s="736" t="s">
        <v>495</v>
      </c>
      <c r="B49" s="737"/>
      <c r="C49" s="738"/>
      <c r="D49" s="601">
        <f>+D44+D48</f>
        <v>9274100000</v>
      </c>
      <c r="E49" s="601">
        <f>+E44+E48</f>
        <v>9253309487</v>
      </c>
      <c r="F49" s="601">
        <f>+F44+F48</f>
        <v>16472513</v>
      </c>
      <c r="G49" s="602">
        <f>+G44+G48</f>
        <v>4318000</v>
      </c>
      <c r="H49" s="6"/>
      <c r="I49" s="6"/>
      <c r="J49" s="6"/>
    </row>
    <row r="50" spans="2:10" ht="24.75" customHeight="1" thickTop="1">
      <c r="B50" s="8"/>
      <c r="C50" s="6"/>
      <c r="D50" s="532"/>
      <c r="E50" s="9"/>
      <c r="F50" s="9"/>
      <c r="G50" s="9"/>
      <c r="H50" s="6"/>
      <c r="I50" s="6"/>
      <c r="J50" s="6"/>
    </row>
    <row r="51" spans="1:7" ht="24.75" customHeight="1">
      <c r="A51" s="218"/>
      <c r="B51" s="219"/>
      <c r="C51" s="5"/>
      <c r="D51" s="533"/>
      <c r="E51" s="233"/>
      <c r="F51" s="233"/>
      <c r="G51" s="233"/>
    </row>
    <row r="52" spans="1:7" ht="24.75" customHeight="1">
      <c r="A52" s="218"/>
      <c r="B52" s="219"/>
      <c r="C52" s="5"/>
      <c r="D52" s="533"/>
      <c r="E52" s="233"/>
      <c r="F52" s="233"/>
      <c r="G52" s="233"/>
    </row>
    <row r="53" spans="1:7" ht="24.75" customHeight="1">
      <c r="A53" s="218"/>
      <c r="B53" s="219"/>
      <c r="D53" s="534"/>
      <c r="E53" s="234"/>
      <c r="F53" s="234"/>
      <c r="G53" s="234"/>
    </row>
    <row r="54" spans="1:11" ht="24.75" customHeight="1">
      <c r="A54" s="218"/>
      <c r="B54" s="219"/>
      <c r="D54" s="534"/>
      <c r="E54" s="234"/>
      <c r="F54" s="234"/>
      <c r="G54" s="234"/>
      <c r="J54" s="66"/>
      <c r="K54" s="66"/>
    </row>
    <row r="55" spans="4:11" ht="24.75" customHeight="1">
      <c r="D55" s="534"/>
      <c r="E55" s="234"/>
      <c r="F55" s="234"/>
      <c r="G55" s="234"/>
      <c r="J55" s="66"/>
      <c r="K55" s="66"/>
    </row>
    <row r="56" spans="4:13" ht="24.75" customHeight="1">
      <c r="D56" s="534"/>
      <c r="E56" s="234"/>
      <c r="F56" s="234"/>
      <c r="G56" s="234"/>
      <c r="J56" s="66"/>
      <c r="K56" s="66"/>
      <c r="M56" s="67"/>
    </row>
    <row r="57" spans="4:7" ht="24.75" customHeight="1">
      <c r="D57" s="535"/>
      <c r="E57" s="236"/>
      <c r="F57" s="236"/>
      <c r="G57" s="236"/>
    </row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9">
    <mergeCell ref="A49:C49"/>
    <mergeCell ref="E6:G6"/>
    <mergeCell ref="A2:G2"/>
    <mergeCell ref="A3:G3"/>
    <mergeCell ref="A4:G4"/>
    <mergeCell ref="A6:A7"/>
    <mergeCell ref="B6:B7"/>
    <mergeCell ref="C6:C7"/>
    <mergeCell ref="D6:D7"/>
  </mergeCells>
  <printOptions horizontalCentered="1" verticalCentered="1"/>
  <pageMargins left="0" right="0" top="0.1968503937007874" bottom="0.1968503937007874" header="0.1968503937007874" footer="0.1181102362204724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PageLayoutView="0" workbookViewId="0" topLeftCell="A30">
      <selection activeCell="D35" sqref="D35"/>
    </sheetView>
  </sheetViews>
  <sheetFormatPr defaultColWidth="9.00390625" defaultRowHeight="12.75"/>
  <cols>
    <col min="1" max="1" width="8.375" style="107" customWidth="1"/>
    <col min="2" max="2" width="13.25390625" style="235" customWidth="1"/>
    <col min="3" max="3" width="85.25390625" style="18" bestFit="1" customWidth="1"/>
    <col min="4" max="4" width="16.75390625" style="237" customWidth="1"/>
    <col min="5" max="5" width="16.25390625" style="18" customWidth="1"/>
    <col min="6" max="6" width="14.00390625" style="18" bestFit="1" customWidth="1"/>
    <col min="7" max="7" width="17.125" style="18" customWidth="1"/>
    <col min="8" max="8" width="16.125" style="18" customWidth="1"/>
    <col min="9" max="9" width="15.25390625" style="18" customWidth="1"/>
    <col min="10" max="16384" width="9.125" style="18" customWidth="1"/>
  </cols>
  <sheetData>
    <row r="1" spans="1:9" ht="15.75">
      <c r="A1" s="635" t="s">
        <v>0</v>
      </c>
      <c r="B1" s="219"/>
      <c r="I1" s="220" t="s">
        <v>64</v>
      </c>
    </row>
    <row r="2" spans="1:6" ht="15.75">
      <c r="A2" s="312"/>
      <c r="B2" s="312"/>
      <c r="C2" s="312"/>
      <c r="D2" s="312"/>
      <c r="F2" s="19"/>
    </row>
    <row r="3" spans="1:9" ht="15.75">
      <c r="A3" s="743" t="s">
        <v>648</v>
      </c>
      <c r="B3" s="743"/>
      <c r="C3" s="743"/>
      <c r="D3" s="743"/>
      <c r="E3" s="743"/>
      <c r="F3" s="743"/>
      <c r="G3" s="743"/>
      <c r="H3" s="743"/>
      <c r="I3" s="743"/>
    </row>
    <row r="4" spans="1:9" ht="15.75">
      <c r="A4" s="744" t="s">
        <v>63</v>
      </c>
      <c r="B4" s="744"/>
      <c r="C4" s="744"/>
      <c r="D4" s="744"/>
      <c r="E4" s="744"/>
      <c r="F4" s="744"/>
      <c r="G4" s="744"/>
      <c r="H4" s="744"/>
      <c r="I4" s="744"/>
    </row>
    <row r="5" spans="1:6" ht="16.5" thickBot="1">
      <c r="A5" s="221"/>
      <c r="B5" s="221"/>
      <c r="C5" s="221"/>
      <c r="D5" s="221"/>
      <c r="F5" s="19"/>
    </row>
    <row r="6" spans="1:9" ht="67.5" customHeight="1" thickTop="1">
      <c r="A6" s="745" t="s">
        <v>23</v>
      </c>
      <c r="B6" s="747" t="s">
        <v>354</v>
      </c>
      <c r="C6" s="749" t="s">
        <v>253</v>
      </c>
      <c r="D6" s="296" t="s">
        <v>0</v>
      </c>
      <c r="E6" s="296" t="s">
        <v>498</v>
      </c>
      <c r="F6" s="296" t="s">
        <v>155</v>
      </c>
      <c r="G6" s="296" t="s">
        <v>79</v>
      </c>
      <c r="H6" s="296" t="s">
        <v>430</v>
      </c>
      <c r="I6" s="297" t="s">
        <v>34</v>
      </c>
    </row>
    <row r="7" spans="1:9" ht="16.5" customHeight="1">
      <c r="A7" s="751"/>
      <c r="B7" s="752"/>
      <c r="C7" s="753"/>
      <c r="D7" s="754" t="s">
        <v>633</v>
      </c>
      <c r="E7" s="754"/>
      <c r="F7" s="754"/>
      <c r="G7" s="754"/>
      <c r="H7" s="754"/>
      <c r="I7" s="755"/>
    </row>
    <row r="8" spans="1:9" ht="19.5" customHeight="1" thickBot="1">
      <c r="A8" s="746"/>
      <c r="B8" s="748"/>
      <c r="C8" s="750"/>
      <c r="D8" s="362">
        <v>1</v>
      </c>
      <c r="E8" s="362">
        <v>2</v>
      </c>
      <c r="F8" s="362">
        <v>3</v>
      </c>
      <c r="G8" s="362">
        <v>4</v>
      </c>
      <c r="H8" s="362">
        <v>5</v>
      </c>
      <c r="I8" s="363"/>
    </row>
    <row r="9" spans="1:9" ht="31.5" customHeight="1" thickTop="1">
      <c r="A9" s="295"/>
      <c r="B9" s="296"/>
      <c r="C9" s="309" t="s">
        <v>3</v>
      </c>
      <c r="D9" s="339"/>
      <c r="E9" s="340"/>
      <c r="F9" s="340"/>
      <c r="G9" s="340"/>
      <c r="H9" s="340"/>
      <c r="I9" s="341"/>
    </row>
    <row r="10" spans="1:9" ht="20.25" customHeight="1">
      <c r="A10" s="298"/>
      <c r="B10" s="299"/>
      <c r="C10" s="104" t="s">
        <v>483</v>
      </c>
      <c r="D10" s="342"/>
      <c r="E10" s="336"/>
      <c r="F10" s="336"/>
      <c r="G10" s="336"/>
      <c r="H10" s="336"/>
      <c r="I10" s="343"/>
    </row>
    <row r="11" spans="1:10" ht="24" customHeight="1">
      <c r="A11" s="301"/>
      <c r="B11" s="222" t="s">
        <v>28</v>
      </c>
      <c r="C11" s="223" t="s">
        <v>480</v>
      </c>
      <c r="D11" s="100">
        <v>784440709</v>
      </c>
      <c r="E11" s="336"/>
      <c r="F11" s="336"/>
      <c r="G11" s="336"/>
      <c r="H11" s="336"/>
      <c r="I11" s="343">
        <f>SUM(D11:H11)</f>
        <v>784440709</v>
      </c>
      <c r="J11" s="6"/>
    </row>
    <row r="12" spans="1:10" ht="24" customHeight="1">
      <c r="A12" s="301"/>
      <c r="B12" s="222" t="s">
        <v>28</v>
      </c>
      <c r="C12" s="223" t="s">
        <v>670</v>
      </c>
      <c r="D12" s="100">
        <v>12839060</v>
      </c>
      <c r="E12" s="336"/>
      <c r="F12" s="336"/>
      <c r="G12" s="336"/>
      <c r="H12" s="336"/>
      <c r="I12" s="343">
        <f>SUM(D12:H12)</f>
        <v>12839060</v>
      </c>
      <c r="J12" s="6"/>
    </row>
    <row r="13" spans="1:9" ht="24.75" customHeight="1">
      <c r="A13" s="301"/>
      <c r="B13" s="224" t="s">
        <v>29</v>
      </c>
      <c r="C13" s="225" t="s">
        <v>30</v>
      </c>
      <c r="D13" s="100">
        <v>889492100</v>
      </c>
      <c r="E13" s="336"/>
      <c r="F13" s="336"/>
      <c r="G13" s="336"/>
      <c r="H13" s="336"/>
      <c r="I13" s="343">
        <f aca="true" t="shared" si="0" ref="I13:I53">SUM(D13:H13)</f>
        <v>889492100</v>
      </c>
    </row>
    <row r="14" spans="1:9" ht="24.75" customHeight="1">
      <c r="A14" s="301"/>
      <c r="B14" s="224" t="s">
        <v>29</v>
      </c>
      <c r="C14" s="225" t="s">
        <v>671</v>
      </c>
      <c r="D14" s="100">
        <v>104622210</v>
      </c>
      <c r="E14" s="336"/>
      <c r="F14" s="336"/>
      <c r="G14" s="336"/>
      <c r="H14" s="336"/>
      <c r="I14" s="343">
        <f t="shared" si="0"/>
        <v>104622210</v>
      </c>
    </row>
    <row r="15" spans="1:9" ht="24.75" customHeight="1">
      <c r="A15" s="301"/>
      <c r="B15" s="224" t="s">
        <v>427</v>
      </c>
      <c r="C15" s="225" t="s">
        <v>668</v>
      </c>
      <c r="D15" s="100">
        <f>320009171+49294649</f>
        <v>369303820</v>
      </c>
      <c r="E15" s="336"/>
      <c r="F15" s="336"/>
      <c r="G15" s="336"/>
      <c r="H15" s="336"/>
      <c r="I15" s="343">
        <f t="shared" si="0"/>
        <v>369303820</v>
      </c>
    </row>
    <row r="16" spans="1:9" ht="24.75" customHeight="1">
      <c r="A16" s="301"/>
      <c r="B16" s="224" t="s">
        <v>427</v>
      </c>
      <c r="C16" s="225" t="s">
        <v>669</v>
      </c>
      <c r="D16" s="100">
        <v>77810560</v>
      </c>
      <c r="E16" s="336"/>
      <c r="F16" s="336"/>
      <c r="G16" s="336"/>
      <c r="H16" s="336"/>
      <c r="I16" s="343">
        <f t="shared" si="0"/>
        <v>77810560</v>
      </c>
    </row>
    <row r="17" spans="1:9" ht="24.75" customHeight="1">
      <c r="A17" s="301"/>
      <c r="B17" s="224" t="s">
        <v>428</v>
      </c>
      <c r="C17" s="225" t="s">
        <v>429</v>
      </c>
      <c r="D17" s="100">
        <v>234897913</v>
      </c>
      <c r="E17" s="336"/>
      <c r="F17" s="336"/>
      <c r="G17" s="336"/>
      <c r="H17" s="336"/>
      <c r="I17" s="343">
        <f t="shared" si="0"/>
        <v>234897913</v>
      </c>
    </row>
    <row r="18" spans="1:9" ht="24.75" customHeight="1">
      <c r="A18" s="301"/>
      <c r="B18" s="224" t="s">
        <v>428</v>
      </c>
      <c r="C18" s="225" t="s">
        <v>672</v>
      </c>
      <c r="D18" s="100">
        <v>14472549</v>
      </c>
      <c r="E18" s="336"/>
      <c r="F18" s="336"/>
      <c r="G18" s="336"/>
      <c r="H18" s="336"/>
      <c r="I18" s="343">
        <f t="shared" si="0"/>
        <v>14472549</v>
      </c>
    </row>
    <row r="19" spans="1:9" ht="24.75" customHeight="1">
      <c r="A19" s="301"/>
      <c r="B19" s="224" t="s">
        <v>33</v>
      </c>
      <c r="C19" s="225" t="s">
        <v>269</v>
      </c>
      <c r="D19" s="100">
        <v>96869649</v>
      </c>
      <c r="E19" s="336"/>
      <c r="F19" s="336"/>
      <c r="G19" s="336"/>
      <c r="H19" s="336"/>
      <c r="I19" s="343">
        <f t="shared" si="0"/>
        <v>96869649</v>
      </c>
    </row>
    <row r="20" spans="1:9" ht="24.75" customHeight="1">
      <c r="A20" s="301"/>
      <c r="B20" s="224"/>
      <c r="C20" s="228" t="s">
        <v>482</v>
      </c>
      <c r="D20" s="100"/>
      <c r="E20" s="336"/>
      <c r="F20" s="336"/>
      <c r="G20" s="336"/>
      <c r="H20" s="336"/>
      <c r="I20" s="343"/>
    </row>
    <row r="21" spans="1:10" ht="24.75" customHeight="1">
      <c r="A21" s="301"/>
      <c r="B21" s="224" t="s">
        <v>35</v>
      </c>
      <c r="C21" s="225" t="s">
        <v>481</v>
      </c>
      <c r="D21" s="100">
        <f>1741650+10000000</f>
        <v>11741650</v>
      </c>
      <c r="E21" s="336">
        <v>6342004</v>
      </c>
      <c r="F21" s="336"/>
      <c r="G21" s="336"/>
      <c r="H21" s="336"/>
      <c r="I21" s="343">
        <f t="shared" si="0"/>
        <v>18083654</v>
      </c>
      <c r="J21" s="6"/>
    </row>
    <row r="22" spans="1:9" ht="24.75" customHeight="1">
      <c r="A22" s="304"/>
      <c r="B22" s="231" t="s">
        <v>275</v>
      </c>
      <c r="C22" s="225" t="s">
        <v>53</v>
      </c>
      <c r="D22" s="336"/>
      <c r="E22" s="336"/>
      <c r="F22" s="336"/>
      <c r="G22" s="336"/>
      <c r="H22" s="336"/>
      <c r="I22" s="343"/>
    </row>
    <row r="23" spans="1:9" s="7" customFormat="1" ht="24.75" customHeight="1">
      <c r="A23" s="305"/>
      <c r="B23" s="229"/>
      <c r="C23" s="228" t="s">
        <v>2</v>
      </c>
      <c r="D23" s="100"/>
      <c r="E23" s="336"/>
      <c r="F23" s="336"/>
      <c r="G23" s="336"/>
      <c r="H23" s="336"/>
      <c r="I23" s="343"/>
    </row>
    <row r="24" spans="1:10" ht="24.75" customHeight="1">
      <c r="A24" s="301"/>
      <c r="B24" s="224" t="s">
        <v>40</v>
      </c>
      <c r="C24" s="223" t="s">
        <v>5</v>
      </c>
      <c r="D24" s="103"/>
      <c r="E24" s="336"/>
      <c r="F24" s="336"/>
      <c r="G24" s="336"/>
      <c r="H24" s="336"/>
      <c r="I24" s="343"/>
      <c r="J24" s="6"/>
    </row>
    <row r="25" spans="1:9" ht="24.75" customHeight="1">
      <c r="A25" s="301"/>
      <c r="B25" s="224"/>
      <c r="C25" s="225" t="s">
        <v>484</v>
      </c>
      <c r="D25" s="100">
        <v>700000000</v>
      </c>
      <c r="E25" s="336"/>
      <c r="F25" s="336"/>
      <c r="G25" s="336"/>
      <c r="H25" s="336"/>
      <c r="I25" s="343">
        <f t="shared" si="0"/>
        <v>700000000</v>
      </c>
    </row>
    <row r="26" spans="1:9" ht="24.75" customHeight="1">
      <c r="A26" s="301"/>
      <c r="B26" s="224"/>
      <c r="C26" s="225" t="s">
        <v>485</v>
      </c>
      <c r="D26" s="100">
        <v>230000000</v>
      </c>
      <c r="E26" s="336"/>
      <c r="F26" s="336"/>
      <c r="G26" s="336"/>
      <c r="H26" s="336"/>
      <c r="I26" s="343">
        <f t="shared" si="0"/>
        <v>230000000</v>
      </c>
    </row>
    <row r="27" spans="1:9" ht="24.75" customHeight="1">
      <c r="A27" s="301"/>
      <c r="B27" s="224" t="s">
        <v>270</v>
      </c>
      <c r="C27" s="223" t="s">
        <v>6</v>
      </c>
      <c r="D27" s="100"/>
      <c r="E27" s="336"/>
      <c r="F27" s="336"/>
      <c r="G27" s="336"/>
      <c r="H27" s="336"/>
      <c r="I27" s="343"/>
    </row>
    <row r="28" spans="1:9" ht="24.75" customHeight="1">
      <c r="A28" s="301"/>
      <c r="B28" s="224"/>
      <c r="C28" s="225" t="s">
        <v>486</v>
      </c>
      <c r="D28" s="100">
        <v>2000000000</v>
      </c>
      <c r="E28" s="336"/>
      <c r="F28" s="336"/>
      <c r="G28" s="336"/>
      <c r="H28" s="336"/>
      <c r="I28" s="343">
        <f t="shared" si="0"/>
        <v>2000000000</v>
      </c>
    </row>
    <row r="29" spans="1:9" s="7" customFormat="1" ht="24.75" customHeight="1">
      <c r="A29" s="301"/>
      <c r="B29" s="222" t="s">
        <v>41</v>
      </c>
      <c r="C29" s="223" t="s">
        <v>7</v>
      </c>
      <c r="D29" s="103"/>
      <c r="E29" s="336"/>
      <c r="F29" s="336"/>
      <c r="G29" s="336"/>
      <c r="H29" s="336"/>
      <c r="I29" s="343"/>
    </row>
    <row r="30" spans="1:9" s="7" customFormat="1" ht="24.75" customHeight="1">
      <c r="A30" s="301"/>
      <c r="B30" s="222"/>
      <c r="C30" s="294" t="s">
        <v>487</v>
      </c>
      <c r="D30" s="103">
        <v>30000000</v>
      </c>
      <c r="E30" s="336"/>
      <c r="F30" s="336"/>
      <c r="G30" s="336"/>
      <c r="H30" s="336"/>
      <c r="I30" s="343">
        <f t="shared" si="0"/>
        <v>30000000</v>
      </c>
    </row>
    <row r="31" spans="1:9" s="7" customFormat="1" ht="24.75" customHeight="1">
      <c r="A31" s="301"/>
      <c r="B31" s="222"/>
      <c r="C31" s="294" t="s">
        <v>488</v>
      </c>
      <c r="D31" s="103">
        <v>4000000</v>
      </c>
      <c r="E31" s="336"/>
      <c r="F31" s="336"/>
      <c r="G31" s="336"/>
      <c r="H31" s="336"/>
      <c r="I31" s="343">
        <f t="shared" si="0"/>
        <v>4000000</v>
      </c>
    </row>
    <row r="32" spans="1:9" s="7" customFormat="1" ht="24.75" customHeight="1">
      <c r="A32" s="301"/>
      <c r="B32" s="229"/>
      <c r="C32" s="104" t="s">
        <v>3</v>
      </c>
      <c r="D32" s="100"/>
      <c r="E32" s="336"/>
      <c r="F32" s="336"/>
      <c r="G32" s="336"/>
      <c r="H32" s="336"/>
      <c r="I32" s="343"/>
    </row>
    <row r="33" spans="1:10" ht="24.75" customHeight="1">
      <c r="A33" s="301"/>
      <c r="B33" s="231" t="s">
        <v>43</v>
      </c>
      <c r="C33" s="223" t="s">
        <v>44</v>
      </c>
      <c r="D33" s="103"/>
      <c r="E33" s="103">
        <v>3400000</v>
      </c>
      <c r="F33" s="336">
        <v>4310000</v>
      </c>
      <c r="G33" s="336">
        <v>4000000</v>
      </c>
      <c r="H33" s="336">
        <v>500000</v>
      </c>
      <c r="I33" s="343">
        <f t="shared" si="0"/>
        <v>12210000</v>
      </c>
      <c r="J33" s="6"/>
    </row>
    <row r="34" spans="1:10" ht="24.75" customHeight="1">
      <c r="A34" s="301"/>
      <c r="B34" s="224" t="s">
        <v>43</v>
      </c>
      <c r="C34" s="223" t="s">
        <v>489</v>
      </c>
      <c r="D34" s="103">
        <v>8592088</v>
      </c>
      <c r="E34" s="103"/>
      <c r="F34" s="336"/>
      <c r="G34" s="336"/>
      <c r="H34" s="336"/>
      <c r="I34" s="343">
        <f t="shared" si="0"/>
        <v>8592088</v>
      </c>
      <c r="J34" s="6"/>
    </row>
    <row r="35" spans="1:10" ht="24.75" customHeight="1">
      <c r="A35" s="301"/>
      <c r="B35" s="224" t="s">
        <v>43</v>
      </c>
      <c r="C35" s="223" t="s">
        <v>490</v>
      </c>
      <c r="D35" s="103">
        <f>41233790+53168</f>
        <v>41286958</v>
      </c>
      <c r="E35" s="103"/>
      <c r="F35" s="336"/>
      <c r="G35" s="336"/>
      <c r="H35" s="336"/>
      <c r="I35" s="343">
        <f t="shared" si="0"/>
        <v>41286958</v>
      </c>
      <c r="J35" s="6"/>
    </row>
    <row r="36" spans="1:10" ht="24.75" customHeight="1">
      <c r="A36" s="301"/>
      <c r="B36" s="224" t="s">
        <v>45</v>
      </c>
      <c r="C36" s="223" t="s">
        <v>46</v>
      </c>
      <c r="D36" s="344"/>
      <c r="E36" s="100">
        <v>629920</v>
      </c>
      <c r="F36" s="336"/>
      <c r="G36" s="336"/>
      <c r="H36" s="336"/>
      <c r="I36" s="343">
        <f t="shared" si="0"/>
        <v>629920</v>
      </c>
      <c r="J36" s="6"/>
    </row>
    <row r="37" spans="1:10" ht="24.75" customHeight="1">
      <c r="A37" s="301"/>
      <c r="B37" s="224" t="s">
        <v>271</v>
      </c>
      <c r="C37" s="223" t="s">
        <v>272</v>
      </c>
      <c r="D37" s="100"/>
      <c r="E37" s="100"/>
      <c r="F37" s="336">
        <v>205194032</v>
      </c>
      <c r="G37" s="336"/>
      <c r="H37" s="336"/>
      <c r="I37" s="343">
        <f t="shared" si="0"/>
        <v>205194032</v>
      </c>
      <c r="J37" s="6"/>
    </row>
    <row r="38" spans="1:10" ht="24.75" customHeight="1">
      <c r="A38" s="301"/>
      <c r="B38" s="224" t="s">
        <v>47</v>
      </c>
      <c r="C38" s="223" t="s">
        <v>8</v>
      </c>
      <c r="D38" s="100">
        <f>4945775</f>
        <v>4945775</v>
      </c>
      <c r="E38" s="100">
        <v>1088078</v>
      </c>
      <c r="F38" s="336">
        <v>55473868</v>
      </c>
      <c r="G38" s="336"/>
      <c r="H38" s="336"/>
      <c r="I38" s="343">
        <f t="shared" si="0"/>
        <v>61507721</v>
      </c>
      <c r="J38" s="6"/>
    </row>
    <row r="39" spans="1:10" ht="24.75" customHeight="1">
      <c r="A39" s="301"/>
      <c r="B39" s="224" t="s">
        <v>273</v>
      </c>
      <c r="C39" s="223" t="s">
        <v>274</v>
      </c>
      <c r="D39" s="100"/>
      <c r="E39" s="100"/>
      <c r="F39" s="336">
        <v>19442000</v>
      </c>
      <c r="G39" s="336"/>
      <c r="H39" s="336"/>
      <c r="I39" s="343">
        <f t="shared" si="0"/>
        <v>19442000</v>
      </c>
      <c r="J39" s="6"/>
    </row>
    <row r="40" spans="1:10" ht="24.75" customHeight="1">
      <c r="A40" s="301"/>
      <c r="B40" s="224" t="s">
        <v>48</v>
      </c>
      <c r="C40" s="223" t="s">
        <v>49</v>
      </c>
      <c r="D40" s="103">
        <v>16000000</v>
      </c>
      <c r="E40" s="103"/>
      <c r="F40" s="336"/>
      <c r="G40" s="336"/>
      <c r="H40" s="336"/>
      <c r="I40" s="343">
        <f t="shared" si="0"/>
        <v>16000000</v>
      </c>
      <c r="J40" s="6"/>
    </row>
    <row r="41" spans="1:10" ht="24.75" customHeight="1">
      <c r="A41" s="301"/>
      <c r="B41" s="224" t="s">
        <v>277</v>
      </c>
      <c r="C41" s="223" t="s">
        <v>278</v>
      </c>
      <c r="D41" s="103"/>
      <c r="E41" s="103"/>
      <c r="F41" s="336"/>
      <c r="G41" s="336"/>
      <c r="H41" s="336"/>
      <c r="I41" s="343"/>
      <c r="J41" s="6"/>
    </row>
    <row r="42" spans="1:10" ht="24.75" customHeight="1">
      <c r="A42" s="305" t="s">
        <v>22</v>
      </c>
      <c r="B42" s="224"/>
      <c r="C42" s="308" t="s">
        <v>491</v>
      </c>
      <c r="D42" s="230">
        <f>SUM(D9:D41)</f>
        <v>5631315041</v>
      </c>
      <c r="E42" s="230">
        <f>SUM(E9:E41)</f>
        <v>11460002</v>
      </c>
      <c r="F42" s="230">
        <f>SUM(F9:F41)</f>
        <v>284419900</v>
      </c>
      <c r="G42" s="230">
        <f>SUM(G9:G41)</f>
        <v>4000000</v>
      </c>
      <c r="H42" s="230">
        <f>SUM(H9:H41)</f>
        <v>500000</v>
      </c>
      <c r="I42" s="306">
        <f>SUM(D42:H42)</f>
        <v>5931694943</v>
      </c>
      <c r="J42" s="6"/>
    </row>
    <row r="43" spans="1:10" s="7" customFormat="1" ht="24.75" customHeight="1">
      <c r="A43" s="301"/>
      <c r="B43" s="229"/>
      <c r="C43" s="308" t="s">
        <v>4</v>
      </c>
      <c r="D43" s="230"/>
      <c r="E43" s="335"/>
      <c r="F43" s="335"/>
      <c r="G43" s="335"/>
      <c r="H43" s="335"/>
      <c r="I43" s="345"/>
      <c r="J43" s="106"/>
    </row>
    <row r="44" spans="1:10" s="7" customFormat="1" ht="24.75" customHeight="1">
      <c r="A44" s="301"/>
      <c r="B44" s="231" t="s">
        <v>38</v>
      </c>
      <c r="C44" s="223" t="s">
        <v>604</v>
      </c>
      <c r="D44" s="103"/>
      <c r="E44" s="336"/>
      <c r="F44" s="336"/>
      <c r="G44" s="336"/>
      <c r="H44" s="336"/>
      <c r="I44" s="343"/>
      <c r="J44" s="106"/>
    </row>
    <row r="45" spans="1:10" ht="24.75" customHeight="1">
      <c r="A45" s="301"/>
      <c r="B45" s="231" t="s">
        <v>677</v>
      </c>
      <c r="C45" s="223" t="s">
        <v>653</v>
      </c>
      <c r="D45" s="103">
        <v>3125057</v>
      </c>
      <c r="E45" s="336"/>
      <c r="F45" s="336"/>
      <c r="G45" s="336"/>
      <c r="H45" s="336"/>
      <c r="I45" s="343">
        <f t="shared" si="0"/>
        <v>3125057</v>
      </c>
      <c r="J45" s="6"/>
    </row>
    <row r="46" spans="1:10" ht="24.75" customHeight="1">
      <c r="A46" s="301"/>
      <c r="B46" s="231" t="s">
        <v>55</v>
      </c>
      <c r="C46" s="223" t="s">
        <v>56</v>
      </c>
      <c r="D46" s="344"/>
      <c r="E46" s="336"/>
      <c r="F46" s="336"/>
      <c r="G46" s="336"/>
      <c r="H46" s="336"/>
      <c r="I46" s="343"/>
      <c r="J46" s="6"/>
    </row>
    <row r="47" spans="1:10" ht="24.75" customHeight="1">
      <c r="A47" s="305" t="s">
        <v>70</v>
      </c>
      <c r="B47" s="231"/>
      <c r="C47" s="308" t="s">
        <v>492</v>
      </c>
      <c r="D47" s="360">
        <f>SUM(D44:D46)</f>
        <v>3125057</v>
      </c>
      <c r="E47" s="402">
        <f>SUM(E44:E46)</f>
        <v>0</v>
      </c>
      <c r="F47" s="402">
        <f>SUM(F44:F46)</f>
        <v>0</v>
      </c>
      <c r="G47" s="402">
        <f>SUM(G44:G46)</f>
        <v>0</v>
      </c>
      <c r="H47" s="402">
        <f>SUM(H44:H46)</f>
        <v>0</v>
      </c>
      <c r="I47" s="345">
        <f>SUM(D47:H47)</f>
        <v>3125057</v>
      </c>
      <c r="J47" s="6"/>
    </row>
    <row r="48" spans="1:10" ht="24.75" customHeight="1">
      <c r="A48" s="301"/>
      <c r="B48" s="232"/>
      <c r="C48" s="308" t="s">
        <v>493</v>
      </c>
      <c r="D48" s="335">
        <f>+D47+D42</f>
        <v>5634440098</v>
      </c>
      <c r="E48" s="335">
        <f>+E47+E42</f>
        <v>11460002</v>
      </c>
      <c r="F48" s="335">
        <f>+F47+F42</f>
        <v>284419900</v>
      </c>
      <c r="G48" s="335">
        <f>+G47+G42</f>
        <v>4000000</v>
      </c>
      <c r="H48" s="335">
        <f>+H47+H42</f>
        <v>500000</v>
      </c>
      <c r="I48" s="345">
        <f t="shared" si="0"/>
        <v>5934820000</v>
      </c>
      <c r="J48" s="6"/>
    </row>
    <row r="49" spans="1:10" s="7" customFormat="1" ht="24.75" customHeight="1">
      <c r="A49" s="305"/>
      <c r="B49" s="227"/>
      <c r="C49" s="293" t="s">
        <v>9</v>
      </c>
      <c r="D49" s="230"/>
      <c r="E49" s="335"/>
      <c r="F49" s="335"/>
      <c r="G49" s="335"/>
      <c r="H49" s="335"/>
      <c r="I49" s="345"/>
      <c r="J49" s="106"/>
    </row>
    <row r="50" spans="1:10" ht="24.75" customHeight="1">
      <c r="A50" s="301"/>
      <c r="B50" s="231" t="s">
        <v>276</v>
      </c>
      <c r="C50" s="223" t="s">
        <v>59</v>
      </c>
      <c r="D50" s="100">
        <f>967580000-23300000</f>
        <v>944280000</v>
      </c>
      <c r="E50" s="335"/>
      <c r="F50" s="335"/>
      <c r="G50" s="335"/>
      <c r="H50" s="335"/>
      <c r="I50" s="345">
        <f t="shared" si="0"/>
        <v>944280000</v>
      </c>
      <c r="J50" s="6"/>
    </row>
    <row r="51" spans="1:10" ht="24.75" customHeight="1">
      <c r="A51" s="301"/>
      <c r="B51" s="231" t="s">
        <v>60</v>
      </c>
      <c r="C51" s="223" t="s">
        <v>61</v>
      </c>
      <c r="D51" s="100">
        <v>2395000000</v>
      </c>
      <c r="E51" s="335"/>
      <c r="F51" s="335"/>
      <c r="G51" s="335"/>
      <c r="H51" s="335"/>
      <c r="I51" s="345">
        <f t="shared" si="0"/>
        <v>2395000000</v>
      </c>
      <c r="J51" s="6"/>
    </row>
    <row r="52" spans="1:10" ht="24.75" customHeight="1" thickBot="1">
      <c r="A52" s="310" t="s">
        <v>479</v>
      </c>
      <c r="B52" s="307"/>
      <c r="C52" s="311" t="s">
        <v>494</v>
      </c>
      <c r="D52" s="359">
        <f>SUM(D50:D51)</f>
        <v>3339280000</v>
      </c>
      <c r="E52" s="337"/>
      <c r="F52" s="337"/>
      <c r="G52" s="337"/>
      <c r="H52" s="337"/>
      <c r="I52" s="346">
        <f t="shared" si="0"/>
        <v>3339280000</v>
      </c>
      <c r="J52" s="6"/>
    </row>
    <row r="53" spans="1:10" ht="24.75" customHeight="1" thickBot="1" thickTop="1">
      <c r="A53" s="736" t="s">
        <v>495</v>
      </c>
      <c r="B53" s="737"/>
      <c r="C53" s="738"/>
      <c r="D53" s="338">
        <f>+D52+D48</f>
        <v>8973720098</v>
      </c>
      <c r="E53" s="338">
        <f>+E52+E48</f>
        <v>11460002</v>
      </c>
      <c r="F53" s="338">
        <f>+F52+F48</f>
        <v>284419900</v>
      </c>
      <c r="G53" s="338">
        <f>+G52+G48</f>
        <v>4000000</v>
      </c>
      <c r="H53" s="338">
        <f>+H52+H48</f>
        <v>500000</v>
      </c>
      <c r="I53" s="410">
        <f t="shared" si="0"/>
        <v>9274100000</v>
      </c>
      <c r="J53" s="6"/>
    </row>
    <row r="54" spans="2:10" ht="24.75" customHeight="1" thickTop="1">
      <c r="B54" s="8"/>
      <c r="C54" s="6"/>
      <c r="D54" s="9"/>
      <c r="E54" s="5"/>
      <c r="F54" s="6"/>
      <c r="G54" s="6"/>
      <c r="H54" s="6"/>
      <c r="I54" s="6"/>
      <c r="J54" s="6"/>
    </row>
    <row r="55" spans="1:9" ht="24.75" customHeight="1">
      <c r="A55" s="218"/>
      <c r="B55" s="219"/>
      <c r="C55" s="5"/>
      <c r="D55" s="233"/>
      <c r="I55" s="404"/>
    </row>
    <row r="56" spans="1:9" ht="24.75" customHeight="1">
      <c r="A56" s="218"/>
      <c r="B56" s="219"/>
      <c r="C56" s="5"/>
      <c r="D56" s="233"/>
      <c r="I56" s="403"/>
    </row>
    <row r="57" spans="1:4" ht="24.75" customHeight="1">
      <c r="A57" s="218"/>
      <c r="B57" s="219"/>
      <c r="D57" s="234"/>
    </row>
    <row r="58" spans="1:6" ht="24.75" customHeight="1">
      <c r="A58" s="218"/>
      <c r="B58" s="219"/>
      <c r="D58" s="234"/>
      <c r="E58" s="234"/>
      <c r="F58" s="234"/>
    </row>
    <row r="59" ht="24.75" customHeight="1">
      <c r="D59" s="234"/>
    </row>
    <row r="60" ht="24.75" customHeight="1">
      <c r="D60" s="234"/>
    </row>
    <row r="61" ht="24.75" customHeight="1">
      <c r="D61" s="236"/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</sheetData>
  <sheetProtection/>
  <mergeCells count="7">
    <mergeCell ref="A53:C53"/>
    <mergeCell ref="A3:I3"/>
    <mergeCell ref="A4:I4"/>
    <mergeCell ref="A6:A8"/>
    <mergeCell ref="B6:B8"/>
    <mergeCell ref="C6:C8"/>
    <mergeCell ref="D7:I7"/>
  </mergeCells>
  <printOptions/>
  <pageMargins left="0.7" right="0.7" top="0.75" bottom="0.75" header="0.3" footer="0.3"/>
  <pageSetup horizontalDpi="600" verticalDpi="600" orientation="portrait" paperSize="9" scale="43" r:id="rId1"/>
  <ignoredErrors>
    <ignoredError sqref="D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workbookViewId="0" topLeftCell="A16">
      <selection activeCell="F21" sqref="F21"/>
    </sheetView>
  </sheetViews>
  <sheetFormatPr defaultColWidth="9.00390625" defaultRowHeight="12.75"/>
  <cols>
    <col min="1" max="1" width="9.875" style="109" customWidth="1"/>
    <col min="2" max="2" width="77.875" style="112" customWidth="1"/>
    <col min="3" max="5" width="17.125" style="200" customWidth="1"/>
    <col min="6" max="6" width="16.625" style="112" bestFit="1" customWidth="1"/>
    <col min="7" max="8" width="9.125" style="112" customWidth="1"/>
    <col min="9" max="9" width="19.375" style="112" bestFit="1" customWidth="1"/>
    <col min="10" max="16384" width="9.125" style="112" customWidth="1"/>
  </cols>
  <sheetData>
    <row r="1" spans="1:5" ht="15.75">
      <c r="A1" s="153" t="s">
        <v>0</v>
      </c>
      <c r="C1" s="196"/>
      <c r="D1" s="196"/>
      <c r="E1" s="196" t="s">
        <v>362</v>
      </c>
    </row>
    <row r="2" spans="1:5" ht="15.75">
      <c r="A2" s="153"/>
      <c r="C2" s="196"/>
      <c r="D2" s="196"/>
      <c r="E2" s="196"/>
    </row>
    <row r="3" spans="1:5" ht="42.75" customHeight="1" thickBot="1">
      <c r="A3" s="756" t="s">
        <v>603</v>
      </c>
      <c r="B3" s="756"/>
      <c r="C3" s="756"/>
      <c r="D3" s="756"/>
      <c r="E3" s="756"/>
    </row>
    <row r="4" spans="1:5" ht="67.5" customHeight="1" thickBot="1" thickTop="1">
      <c r="A4" s="123" t="s">
        <v>23</v>
      </c>
      <c r="B4" s="124" t="s">
        <v>81</v>
      </c>
      <c r="C4" s="124" t="s">
        <v>674</v>
      </c>
      <c r="D4" s="124" t="s">
        <v>673</v>
      </c>
      <c r="E4" s="125" t="s">
        <v>675</v>
      </c>
    </row>
    <row r="5" spans="1:9" s="197" customFormat="1" ht="24.75" customHeight="1" thickTop="1">
      <c r="A5" s="191" t="s">
        <v>356</v>
      </c>
      <c r="B5" s="119" t="s">
        <v>82</v>
      </c>
      <c r="C5" s="120">
        <f>SUM(C6:C12)</f>
        <v>784440709</v>
      </c>
      <c r="D5" s="120">
        <f>SUM(D6:D12)</f>
        <v>12839060</v>
      </c>
      <c r="E5" s="120">
        <f>SUM(E6:E12)</f>
        <v>797279769</v>
      </c>
      <c r="I5" s="198"/>
    </row>
    <row r="6" spans="1:5" ht="24.75" customHeight="1">
      <c r="A6" s="189" t="s">
        <v>395</v>
      </c>
      <c r="B6" s="115" t="s">
        <v>361</v>
      </c>
      <c r="C6" s="116">
        <v>478108500</v>
      </c>
      <c r="D6" s="116">
        <v>3610500</v>
      </c>
      <c r="E6" s="116">
        <f>SUM(C6:D6)</f>
        <v>481719000</v>
      </c>
    </row>
    <row r="7" spans="1:5" ht="24.75" customHeight="1">
      <c r="A7" s="187" t="s">
        <v>396</v>
      </c>
      <c r="B7" s="115" t="s">
        <v>397</v>
      </c>
      <c r="C7" s="116">
        <v>34723080</v>
      </c>
      <c r="D7" s="116">
        <v>1102320</v>
      </c>
      <c r="E7" s="116">
        <f aca="true" t="shared" si="0" ref="E7:E12">SUM(C7:D7)</f>
        <v>35825400</v>
      </c>
    </row>
    <row r="8" spans="1:5" ht="24.75" customHeight="1">
      <c r="A8" s="187" t="s">
        <v>398</v>
      </c>
      <c r="B8" s="115" t="s">
        <v>399</v>
      </c>
      <c r="C8" s="116">
        <v>80800500</v>
      </c>
      <c r="D8" s="116">
        <v>1947000</v>
      </c>
      <c r="E8" s="116">
        <f t="shared" si="0"/>
        <v>82747500</v>
      </c>
    </row>
    <row r="9" spans="1:5" ht="24.75" customHeight="1">
      <c r="A9" s="187" t="s">
        <v>400</v>
      </c>
      <c r="B9" s="115" t="s">
        <v>404</v>
      </c>
      <c r="C9" s="116">
        <v>4982810</v>
      </c>
      <c r="D9" s="116">
        <v>1067745</v>
      </c>
      <c r="E9" s="116">
        <f t="shared" si="0"/>
        <v>6050555</v>
      </c>
    </row>
    <row r="10" spans="1:5" ht="24.75" customHeight="1">
      <c r="A10" s="187" t="s">
        <v>401</v>
      </c>
      <c r="B10" s="115" t="s">
        <v>405</v>
      </c>
      <c r="C10" s="116">
        <v>67026719</v>
      </c>
      <c r="D10" s="116">
        <v>698195</v>
      </c>
      <c r="E10" s="116">
        <f t="shared" si="0"/>
        <v>67724914</v>
      </c>
    </row>
    <row r="11" spans="1:5" ht="24.75" customHeight="1">
      <c r="A11" s="187" t="s">
        <v>402</v>
      </c>
      <c r="B11" s="115" t="s">
        <v>406</v>
      </c>
      <c r="C11" s="116">
        <v>118187100</v>
      </c>
      <c r="D11" s="116">
        <v>4377300</v>
      </c>
      <c r="E11" s="116">
        <f t="shared" si="0"/>
        <v>122564400</v>
      </c>
    </row>
    <row r="12" spans="1:12" ht="24.75" customHeight="1">
      <c r="A12" s="187" t="s">
        <v>403</v>
      </c>
      <c r="B12" s="115" t="s">
        <v>407</v>
      </c>
      <c r="C12" s="116">
        <v>612000</v>
      </c>
      <c r="D12" s="116">
        <v>36000</v>
      </c>
      <c r="E12" s="116">
        <f t="shared" si="0"/>
        <v>648000</v>
      </c>
      <c r="I12" s="198"/>
      <c r="J12" s="198"/>
      <c r="K12" s="198"/>
      <c r="L12" s="198"/>
    </row>
    <row r="13" spans="1:9" s="197" customFormat="1" ht="24.75" customHeight="1">
      <c r="A13" s="113" t="s">
        <v>357</v>
      </c>
      <c r="B13" s="113" t="s">
        <v>83</v>
      </c>
      <c r="C13" s="114">
        <f>SUM(C14:C17)</f>
        <v>889492100</v>
      </c>
      <c r="D13" s="114">
        <f>SUM(D14:D17)</f>
        <v>104622210</v>
      </c>
      <c r="E13" s="114">
        <f>SUM(E14:E17)</f>
        <v>994114310</v>
      </c>
      <c r="I13" s="198"/>
    </row>
    <row r="14" spans="1:12" s="197" customFormat="1" ht="30.75" customHeight="1">
      <c r="A14" s="187" t="s">
        <v>408</v>
      </c>
      <c r="B14" s="115" t="s">
        <v>84</v>
      </c>
      <c r="C14" s="116">
        <v>131087000</v>
      </c>
      <c r="D14" s="116">
        <v>23834000</v>
      </c>
      <c r="E14" s="116">
        <f>SUM(C14:D14)</f>
        <v>154921000</v>
      </c>
      <c r="F14" s="199"/>
      <c r="I14" s="198"/>
      <c r="J14" s="198"/>
      <c r="K14" s="198"/>
      <c r="L14" s="198"/>
    </row>
    <row r="15" spans="1:12" s="197" customFormat="1" ht="24.75" customHeight="1">
      <c r="A15" s="187" t="s">
        <v>409</v>
      </c>
      <c r="B15" s="115" t="s">
        <v>410</v>
      </c>
      <c r="C15" s="116">
        <v>502679100</v>
      </c>
      <c r="D15" s="116">
        <v>41504760</v>
      </c>
      <c r="E15" s="116">
        <f>SUM(C15:D15)</f>
        <v>544183860</v>
      </c>
      <c r="F15" s="199"/>
      <c r="I15" s="198"/>
      <c r="J15" s="198"/>
      <c r="K15" s="198"/>
      <c r="L15" s="198"/>
    </row>
    <row r="16" spans="1:12" s="197" customFormat="1" ht="24.75" customHeight="1">
      <c r="A16" s="190" t="s">
        <v>411</v>
      </c>
      <c r="B16" s="115" t="s">
        <v>85</v>
      </c>
      <c r="C16" s="116">
        <f>17280000+8055000</f>
        <v>25335000</v>
      </c>
      <c r="D16" s="116">
        <f>1427600+664850</f>
        <v>2092450</v>
      </c>
      <c r="E16" s="116">
        <f>SUM(C16:D16)</f>
        <v>27427450</v>
      </c>
      <c r="F16" s="199"/>
      <c r="I16" s="198"/>
      <c r="J16" s="198"/>
      <c r="K16" s="198"/>
      <c r="L16" s="198"/>
    </row>
    <row r="17" spans="1:12" s="197" customFormat="1" ht="31.5" customHeight="1">
      <c r="A17" s="187" t="s">
        <v>412</v>
      </c>
      <c r="B17" s="115" t="s">
        <v>413</v>
      </c>
      <c r="C17" s="116">
        <v>230391000</v>
      </c>
      <c r="D17" s="116">
        <v>37191000</v>
      </c>
      <c r="E17" s="116">
        <f>SUM(C17:D17)</f>
        <v>267582000</v>
      </c>
      <c r="F17" s="199"/>
      <c r="I17" s="198"/>
      <c r="J17" s="198"/>
      <c r="K17" s="198"/>
      <c r="L17" s="198"/>
    </row>
    <row r="18" spans="1:9" s="197" customFormat="1" ht="24.75" customHeight="1">
      <c r="A18" s="113" t="s">
        <v>358</v>
      </c>
      <c r="B18" s="113" t="s">
        <v>415</v>
      </c>
      <c r="C18" s="114">
        <f>SUM(C19+C22)</f>
        <v>320009171</v>
      </c>
      <c r="D18" s="114">
        <f>SUM(D19+D22)</f>
        <v>77810560</v>
      </c>
      <c r="E18" s="114">
        <f>SUM(E19+E22)</f>
        <v>397819731</v>
      </c>
      <c r="I18" s="198"/>
    </row>
    <row r="19" spans="1:12" s="197" customFormat="1" ht="24.75" customHeight="1">
      <c r="A19" s="188" t="s">
        <v>418</v>
      </c>
      <c r="B19" s="117" t="s">
        <v>86</v>
      </c>
      <c r="C19" s="118">
        <f>SUM(C20:C21)</f>
        <v>67247171</v>
      </c>
      <c r="D19" s="118">
        <f>SUM(D20:D21)</f>
        <v>15698860</v>
      </c>
      <c r="E19" s="118">
        <f>SUM(E20:E21)</f>
        <v>82946031</v>
      </c>
      <c r="F19" s="199"/>
      <c r="I19" s="198"/>
      <c r="J19" s="198"/>
      <c r="K19" s="198"/>
      <c r="L19" s="198"/>
    </row>
    <row r="20" spans="1:12" s="197" customFormat="1" ht="24.75" customHeight="1">
      <c r="A20" s="187" t="s">
        <v>419</v>
      </c>
      <c r="B20" s="115" t="s">
        <v>87</v>
      </c>
      <c r="C20" s="116">
        <v>23580920</v>
      </c>
      <c r="D20" s="116">
        <v>4628250</v>
      </c>
      <c r="E20" s="116">
        <f>SUM(C20:D20)</f>
        <v>28209170</v>
      </c>
      <c r="F20" s="199"/>
      <c r="I20" s="198"/>
      <c r="J20" s="198"/>
      <c r="K20" s="198"/>
      <c r="L20" s="198"/>
    </row>
    <row r="21" spans="1:12" s="197" customFormat="1" ht="24.75" customHeight="1">
      <c r="A21" s="187" t="s">
        <v>420</v>
      </c>
      <c r="B21" s="115" t="s">
        <v>88</v>
      </c>
      <c r="C21" s="116">
        <v>43666251</v>
      </c>
      <c r="D21" s="116">
        <v>11070610</v>
      </c>
      <c r="E21" s="116">
        <f>SUM(C21:D21)</f>
        <v>54736861</v>
      </c>
      <c r="I21" s="198"/>
      <c r="J21" s="198"/>
      <c r="K21" s="198"/>
      <c r="L21" s="198"/>
    </row>
    <row r="22" spans="1:12" ht="24.75" customHeight="1">
      <c r="A22" s="192" t="s">
        <v>414</v>
      </c>
      <c r="B22" s="117" t="s">
        <v>92</v>
      </c>
      <c r="C22" s="118">
        <f>SUM(C23:C24)</f>
        <v>252762000</v>
      </c>
      <c r="D22" s="118">
        <f>SUM(D23:D24)</f>
        <v>62111700</v>
      </c>
      <c r="E22" s="118">
        <f>SUM(E23:E24)</f>
        <v>314873700</v>
      </c>
      <c r="I22" s="198"/>
      <c r="J22" s="198"/>
      <c r="K22" s="198"/>
      <c r="L22" s="198"/>
    </row>
    <row r="23" spans="1:12" ht="24.75" customHeight="1">
      <c r="A23" s="187" t="s">
        <v>416</v>
      </c>
      <c r="B23" s="115" t="s">
        <v>90</v>
      </c>
      <c r="C23" s="116">
        <f>45900000+161028000</f>
        <v>206928000</v>
      </c>
      <c r="D23" s="116">
        <f>17016300+45095400</f>
        <v>62111700</v>
      </c>
      <c r="E23" s="116">
        <f>SUM(C23:D23)</f>
        <v>269039700</v>
      </c>
      <c r="I23" s="198"/>
      <c r="J23" s="198"/>
      <c r="K23" s="198"/>
      <c r="L23" s="198"/>
    </row>
    <row r="24" spans="1:12" ht="24.75" customHeight="1">
      <c r="A24" s="187" t="s">
        <v>417</v>
      </c>
      <c r="B24" s="115" t="s">
        <v>257</v>
      </c>
      <c r="C24" s="116">
        <v>45834000</v>
      </c>
      <c r="D24" s="116"/>
      <c r="E24" s="116">
        <f>SUM(C24:D24)</f>
        <v>45834000</v>
      </c>
      <c r="I24" s="198"/>
      <c r="J24" s="198"/>
      <c r="K24" s="198"/>
      <c r="L24" s="198"/>
    </row>
    <row r="25" spans="1:9" s="197" customFormat="1" ht="24.75" customHeight="1">
      <c r="A25" s="113" t="s">
        <v>359</v>
      </c>
      <c r="B25" s="193" t="s">
        <v>89</v>
      </c>
      <c r="C25" s="194">
        <f>SUM(C26:C28)</f>
        <v>234897913</v>
      </c>
      <c r="D25" s="194">
        <f>SUM(D26:D28)</f>
        <v>14472549</v>
      </c>
      <c r="E25" s="194">
        <f>SUM(E26:E28)</f>
        <v>249370462</v>
      </c>
      <c r="I25" s="198"/>
    </row>
    <row r="26" spans="1:5" s="197" customFormat="1" ht="24.75" customHeight="1">
      <c r="A26" s="187" t="s">
        <v>421</v>
      </c>
      <c r="B26" s="115" t="s">
        <v>422</v>
      </c>
      <c r="C26" s="116">
        <v>136825260</v>
      </c>
      <c r="D26" s="116">
        <v>14472549</v>
      </c>
      <c r="E26" s="116">
        <f>SUM(C26:D26)</f>
        <v>151297809</v>
      </c>
    </row>
    <row r="27" spans="1:5" ht="24.75" customHeight="1">
      <c r="A27" s="187" t="s">
        <v>423</v>
      </c>
      <c r="B27" s="115" t="s">
        <v>91</v>
      </c>
      <c r="C27" s="116">
        <v>98033323</v>
      </c>
      <c r="D27" s="116"/>
      <c r="E27" s="116">
        <f>SUM(C27:D27)</f>
        <v>98033323</v>
      </c>
    </row>
    <row r="28" spans="1:5" ht="21.75" customHeight="1">
      <c r="A28" s="115" t="s">
        <v>424</v>
      </c>
      <c r="B28" s="115" t="s">
        <v>425</v>
      </c>
      <c r="C28" s="116">
        <v>39330</v>
      </c>
      <c r="D28" s="116"/>
      <c r="E28" s="116">
        <f>SUM(C28:D28)</f>
        <v>39330</v>
      </c>
    </row>
    <row r="29" spans="1:5" ht="35.25" customHeight="1">
      <c r="A29" s="195" t="s">
        <v>360</v>
      </c>
      <c r="B29" s="113" t="s">
        <v>93</v>
      </c>
      <c r="C29" s="114">
        <f>SUM(C30)</f>
        <v>96869649</v>
      </c>
      <c r="D29" s="398">
        <f>SUM(D30)</f>
        <v>0</v>
      </c>
      <c r="E29" s="114">
        <f>SUM(E30)</f>
        <v>96869649</v>
      </c>
    </row>
    <row r="30" spans="1:5" ht="29.25" customHeight="1" thickBot="1">
      <c r="A30" s="201" t="s">
        <v>426</v>
      </c>
      <c r="B30" s="121" t="s">
        <v>94</v>
      </c>
      <c r="C30" s="122">
        <v>96869649</v>
      </c>
      <c r="D30" s="122"/>
      <c r="E30" s="122">
        <v>96869649</v>
      </c>
    </row>
    <row r="31" spans="1:5" ht="28.5" customHeight="1" thickBot="1" thickTop="1">
      <c r="A31" s="394"/>
      <c r="B31" s="261" t="s">
        <v>370</v>
      </c>
      <c r="C31" s="395">
        <f>SUM(C5+C13+C18+C29+C25)</f>
        <v>2325709542</v>
      </c>
      <c r="D31" s="395">
        <f>SUM(D5+D13+D18+D29+D25)</f>
        <v>209744379</v>
      </c>
      <c r="E31" s="262">
        <f>SUM(E5+E13+E18+E29+E25)</f>
        <v>2535453921</v>
      </c>
    </row>
    <row r="32" spans="2:5" ht="15.75" thickTop="1">
      <c r="B32" s="110"/>
      <c r="C32" s="111"/>
      <c r="D32" s="111"/>
      <c r="E32" s="111"/>
    </row>
    <row r="33" spans="1:5" ht="44.25" customHeight="1" thickBot="1">
      <c r="A33" s="756" t="s">
        <v>602</v>
      </c>
      <c r="B33" s="756"/>
      <c r="C33" s="756"/>
      <c r="D33" s="756"/>
      <c r="E33" s="756"/>
    </row>
    <row r="34" spans="1:5" ht="21" customHeight="1" thickBot="1" thickTop="1">
      <c r="A34" s="202" t="s">
        <v>394</v>
      </c>
      <c r="B34" s="203" t="s">
        <v>393</v>
      </c>
      <c r="C34" s="396">
        <v>49294649</v>
      </c>
      <c r="D34" s="399">
        <v>0</v>
      </c>
      <c r="E34" s="204">
        <f>SUM(C34:D34)</f>
        <v>49294649</v>
      </c>
    </row>
    <row r="35" spans="2:5" ht="15.75" thickTop="1">
      <c r="B35" s="110"/>
      <c r="C35" s="111"/>
      <c r="D35" s="111"/>
      <c r="E35" s="111"/>
    </row>
    <row r="36" spans="3:5" ht="15.75" thickBot="1">
      <c r="C36" s="111"/>
      <c r="D36" s="111"/>
      <c r="E36" s="111"/>
    </row>
    <row r="37" spans="1:5" ht="17.25" thickBot="1" thickTop="1">
      <c r="A37" s="205"/>
      <c r="B37" s="206" t="s">
        <v>371</v>
      </c>
      <c r="C37" s="397">
        <f>+C31+C34</f>
        <v>2375004191</v>
      </c>
      <c r="D37" s="397">
        <f>+D31+D34</f>
        <v>209744379</v>
      </c>
      <c r="E37" s="207">
        <f>+E31+E34</f>
        <v>2584748570</v>
      </c>
    </row>
    <row r="38" ht="26.25" thickTop="1"/>
  </sheetData>
  <sheetProtection/>
  <mergeCells count="2">
    <mergeCell ref="A3:E3"/>
    <mergeCell ref="A33:E33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60"/>
  <sheetViews>
    <sheetView zoomScalePageLayoutView="0" workbookViewId="0" topLeftCell="A10">
      <selection activeCell="F13" sqref="F13"/>
    </sheetView>
  </sheetViews>
  <sheetFormatPr defaultColWidth="9.00390625" defaultRowHeight="12.75"/>
  <cols>
    <col min="1" max="1" width="8.00390625" style="1" customWidth="1"/>
    <col min="2" max="2" width="12.25390625" style="1" customWidth="1"/>
    <col min="3" max="3" width="57.875" style="1" customWidth="1"/>
    <col min="4" max="4" width="20.875" style="22" bestFit="1" customWidth="1"/>
    <col min="5" max="6" width="14.25390625" style="1" bestFit="1" customWidth="1"/>
    <col min="7" max="7" width="13.25390625" style="1" bestFit="1" customWidth="1"/>
    <col min="8" max="8" width="10.875" style="1" bestFit="1" customWidth="1"/>
    <col min="9" max="16384" width="9.125" style="1" customWidth="1"/>
  </cols>
  <sheetData>
    <row r="1" s="318" customFormat="1" ht="15.75">
      <c r="G1" s="2" t="s">
        <v>576</v>
      </c>
    </row>
    <row r="2" spans="1:7" s="318" customFormat="1" ht="15.75">
      <c r="A2" s="759" t="s">
        <v>649</v>
      </c>
      <c r="B2" s="759"/>
      <c r="C2" s="759"/>
      <c r="D2" s="759"/>
      <c r="E2" s="759"/>
      <c r="F2" s="759"/>
      <c r="G2" s="759"/>
    </row>
    <row r="3" spans="1:7" s="318" customFormat="1" ht="15.75">
      <c r="A3" s="760" t="s">
        <v>589</v>
      </c>
      <c r="B3" s="760"/>
      <c r="C3" s="760"/>
      <c r="D3" s="760"/>
      <c r="E3" s="760"/>
      <c r="F3" s="760"/>
      <c r="G3" s="760"/>
    </row>
    <row r="4" spans="1:7" s="318" customFormat="1" ht="15.75">
      <c r="A4" s="761" t="s">
        <v>63</v>
      </c>
      <c r="B4" s="761"/>
      <c r="C4" s="761"/>
      <c r="D4" s="761"/>
      <c r="E4" s="761"/>
      <c r="F4" s="761"/>
      <c r="G4" s="761"/>
    </row>
    <row r="5" s="318" customFormat="1" ht="16.5" thickBot="1">
      <c r="D5" s="319"/>
    </row>
    <row r="6" spans="1:7" s="320" customFormat="1" ht="22.5" customHeight="1" thickTop="1">
      <c r="A6" s="764" t="s">
        <v>23</v>
      </c>
      <c r="B6" s="766" t="s">
        <v>354</v>
      </c>
      <c r="C6" s="768" t="s">
        <v>584</v>
      </c>
      <c r="D6" s="747" t="s">
        <v>496</v>
      </c>
      <c r="E6" s="757" t="s">
        <v>571</v>
      </c>
      <c r="F6" s="757"/>
      <c r="G6" s="758"/>
    </row>
    <row r="7" spans="1:7" s="320" customFormat="1" ht="33" customHeight="1" thickBot="1">
      <c r="A7" s="765"/>
      <c r="B7" s="767"/>
      <c r="C7" s="769"/>
      <c r="D7" s="748"/>
      <c r="E7" s="610" t="s">
        <v>532</v>
      </c>
      <c r="F7" s="611" t="s">
        <v>572</v>
      </c>
      <c r="G7" s="612" t="s">
        <v>534</v>
      </c>
    </row>
    <row r="8" spans="1:7" s="318" customFormat="1" ht="30" customHeight="1" thickTop="1">
      <c r="A8" s="648"/>
      <c r="B8" s="649" t="s">
        <v>207</v>
      </c>
      <c r="C8" s="650" t="s">
        <v>585</v>
      </c>
      <c r="D8" s="636">
        <v>2226183104</v>
      </c>
      <c r="E8" s="636">
        <v>2179533104</v>
      </c>
      <c r="F8" s="636">
        <f>+D8-E8-G8</f>
        <v>26010000</v>
      </c>
      <c r="G8" s="637">
        <v>20640000</v>
      </c>
    </row>
    <row r="9" spans="1:7" s="318" customFormat="1" ht="30" customHeight="1">
      <c r="A9" s="651"/>
      <c r="B9" s="652" t="s">
        <v>208</v>
      </c>
      <c r="C9" s="653" t="s">
        <v>586</v>
      </c>
      <c r="D9" s="638">
        <v>342989626</v>
      </c>
      <c r="E9" s="638">
        <v>333952914</v>
      </c>
      <c r="F9" s="638">
        <f>+D9-E9-G9</f>
        <v>5973352</v>
      </c>
      <c r="G9" s="639">
        <v>3063360</v>
      </c>
    </row>
    <row r="10" spans="1:7" s="318" customFormat="1" ht="30" customHeight="1">
      <c r="A10" s="651"/>
      <c r="B10" s="652" t="s">
        <v>210</v>
      </c>
      <c r="C10" s="653" t="s">
        <v>587</v>
      </c>
      <c r="D10" s="638">
        <f>2459997217+53168</f>
        <v>2460050385</v>
      </c>
      <c r="E10" s="638">
        <v>2170973864</v>
      </c>
      <c r="F10" s="638">
        <f>+D10-E10-G10</f>
        <v>286218199</v>
      </c>
      <c r="G10" s="639">
        <v>2858322</v>
      </c>
    </row>
    <row r="11" spans="1:7" s="318" customFormat="1" ht="30" customHeight="1">
      <c r="A11" s="651"/>
      <c r="B11" s="654" t="s">
        <v>211</v>
      </c>
      <c r="C11" s="653" t="s">
        <v>227</v>
      </c>
      <c r="D11" s="638">
        <v>11000000</v>
      </c>
      <c r="E11" s="638">
        <v>5000000</v>
      </c>
      <c r="F11" s="638">
        <f>+D11-E11-G11</f>
        <v>6000000</v>
      </c>
      <c r="G11" s="639"/>
    </row>
    <row r="12" spans="1:7" s="318" customFormat="1" ht="30" customHeight="1">
      <c r="A12" s="651"/>
      <c r="B12" s="652" t="s">
        <v>212</v>
      </c>
      <c r="C12" s="655" t="s">
        <v>213</v>
      </c>
      <c r="D12" s="638"/>
      <c r="E12" s="638"/>
      <c r="F12" s="638"/>
      <c r="G12" s="639"/>
    </row>
    <row r="13" spans="1:7" s="318" customFormat="1" ht="30" customHeight="1">
      <c r="A13" s="651"/>
      <c r="B13" s="652"/>
      <c r="C13" s="655" t="s">
        <v>458</v>
      </c>
      <c r="D13" s="638">
        <v>537993099</v>
      </c>
      <c r="E13" s="638">
        <v>537993099</v>
      </c>
      <c r="F13" s="638"/>
      <c r="G13" s="639"/>
    </row>
    <row r="14" spans="1:7" s="318" customFormat="1" ht="30" customHeight="1">
      <c r="A14" s="651"/>
      <c r="B14" s="652"/>
      <c r="C14" s="655" t="s">
        <v>590</v>
      </c>
      <c r="D14" s="638">
        <v>149678506</v>
      </c>
      <c r="E14" s="638">
        <v>77038506</v>
      </c>
      <c r="F14" s="638">
        <f>+D14-E14-G14</f>
        <v>72640000</v>
      </c>
      <c r="G14" s="639"/>
    </row>
    <row r="15" spans="1:7" s="318" customFormat="1" ht="30" customHeight="1">
      <c r="A15" s="651"/>
      <c r="B15" s="654"/>
      <c r="C15" s="655" t="s">
        <v>591</v>
      </c>
      <c r="D15" s="638">
        <v>80000000</v>
      </c>
      <c r="E15" s="638"/>
      <c r="F15" s="638">
        <v>80000000</v>
      </c>
      <c r="G15" s="639"/>
    </row>
    <row r="16" spans="1:7" s="318" customFormat="1" ht="30" customHeight="1">
      <c r="A16" s="651"/>
      <c r="B16" s="652" t="s">
        <v>214</v>
      </c>
      <c r="C16" s="655" t="s">
        <v>598</v>
      </c>
      <c r="D16" s="638">
        <v>3000000</v>
      </c>
      <c r="E16" s="638">
        <v>3000000</v>
      </c>
      <c r="F16" s="638"/>
      <c r="G16" s="639"/>
    </row>
    <row r="17" spans="1:7" s="318" customFormat="1" ht="30" customHeight="1">
      <c r="A17" s="651"/>
      <c r="B17" s="652" t="s">
        <v>214</v>
      </c>
      <c r="C17" s="655" t="s">
        <v>599</v>
      </c>
      <c r="D17" s="638">
        <v>50000000</v>
      </c>
      <c r="E17" s="638">
        <v>50000000</v>
      </c>
      <c r="F17" s="638"/>
      <c r="G17" s="639"/>
    </row>
    <row r="18" spans="1:7" s="318" customFormat="1" ht="30" customHeight="1">
      <c r="A18" s="656" t="s">
        <v>22</v>
      </c>
      <c r="B18" s="657"/>
      <c r="C18" s="658" t="s">
        <v>596</v>
      </c>
      <c r="D18" s="640">
        <f>SUM(D8:D17)</f>
        <v>5860894720</v>
      </c>
      <c r="E18" s="640">
        <f>SUM(E8:E17)</f>
        <v>5357491487</v>
      </c>
      <c r="F18" s="640">
        <f>SUM(F8:F17)</f>
        <v>476841551</v>
      </c>
      <c r="G18" s="641">
        <f>SUM(G8:G17)</f>
        <v>26561682</v>
      </c>
    </row>
    <row r="19" spans="1:7" s="322" customFormat="1" ht="30" customHeight="1">
      <c r="A19" s="651"/>
      <c r="B19" s="652" t="s">
        <v>216</v>
      </c>
      <c r="C19" s="655" t="s">
        <v>77</v>
      </c>
      <c r="D19" s="638">
        <v>2118383102</v>
      </c>
      <c r="E19" s="638">
        <v>2023982225</v>
      </c>
      <c r="F19" s="638">
        <f>+D19-E19</f>
        <v>94400877</v>
      </c>
      <c r="G19" s="639"/>
    </row>
    <row r="20" spans="1:9" s="319" customFormat="1" ht="30" customHeight="1">
      <c r="A20" s="651"/>
      <c r="B20" s="652" t="s">
        <v>217</v>
      </c>
      <c r="C20" s="653" t="s">
        <v>78</v>
      </c>
      <c r="D20" s="638">
        <f>273483794-23300000</f>
        <v>250183794</v>
      </c>
      <c r="E20" s="638">
        <f>137835697-23300000</f>
        <v>114535697</v>
      </c>
      <c r="F20" s="638">
        <f>+D20-E20</f>
        <v>135648097</v>
      </c>
      <c r="G20" s="639"/>
      <c r="H20" s="321"/>
      <c r="I20" s="321"/>
    </row>
    <row r="21" spans="1:7" s="318" customFormat="1" ht="30" customHeight="1">
      <c r="A21" s="659"/>
      <c r="B21" s="654" t="s">
        <v>218</v>
      </c>
      <c r="C21" s="653" t="s">
        <v>219</v>
      </c>
      <c r="D21" s="638"/>
      <c r="E21" s="638"/>
      <c r="F21" s="638"/>
      <c r="G21" s="639"/>
    </row>
    <row r="22" spans="1:7" s="323" customFormat="1" ht="30" customHeight="1">
      <c r="A22" s="651"/>
      <c r="B22" s="652"/>
      <c r="C22" s="653" t="s">
        <v>594</v>
      </c>
      <c r="D22" s="638">
        <v>6600000</v>
      </c>
      <c r="E22" s="638"/>
      <c r="F22" s="638">
        <v>6600000</v>
      </c>
      <c r="G22" s="639"/>
    </row>
    <row r="23" spans="1:7" s="323" customFormat="1" ht="30" customHeight="1">
      <c r="A23" s="651"/>
      <c r="B23" s="652"/>
      <c r="C23" s="653" t="s">
        <v>595</v>
      </c>
      <c r="D23" s="638">
        <v>443945000</v>
      </c>
      <c r="E23" s="638"/>
      <c r="F23" s="638">
        <v>443945000</v>
      </c>
      <c r="G23" s="639"/>
    </row>
    <row r="24" spans="1:7" s="318" customFormat="1" ht="30" customHeight="1">
      <c r="A24" s="651"/>
      <c r="B24" s="652" t="s">
        <v>214</v>
      </c>
      <c r="C24" s="653" t="s">
        <v>172</v>
      </c>
      <c r="D24" s="638">
        <v>499500000</v>
      </c>
      <c r="E24" s="638">
        <v>499500000</v>
      </c>
      <c r="F24" s="638"/>
      <c r="G24" s="639"/>
    </row>
    <row r="25" spans="1:7" s="318" customFormat="1" ht="30" customHeight="1">
      <c r="A25" s="656" t="s">
        <v>70</v>
      </c>
      <c r="B25" s="657"/>
      <c r="C25" s="660" t="s">
        <v>597</v>
      </c>
      <c r="D25" s="640">
        <f>SUM(D19:D24)</f>
        <v>3318611896</v>
      </c>
      <c r="E25" s="640">
        <f>SUM(E19:E24)</f>
        <v>2638017922</v>
      </c>
      <c r="F25" s="640">
        <f>SUM(F19:F24)</f>
        <v>680593974</v>
      </c>
      <c r="G25" s="642">
        <f>SUM(G19:G24)</f>
        <v>0</v>
      </c>
    </row>
    <row r="26" spans="1:7" s="318" customFormat="1" ht="30" customHeight="1">
      <c r="A26" s="656"/>
      <c r="B26" s="657"/>
      <c r="C26" s="660" t="s">
        <v>588</v>
      </c>
      <c r="D26" s="640">
        <f>+D25+D18</f>
        <v>9179506616</v>
      </c>
      <c r="E26" s="640">
        <f>+E25+E18</f>
        <v>7995509409</v>
      </c>
      <c r="F26" s="640">
        <f>+F25+F18</f>
        <v>1157435525</v>
      </c>
      <c r="G26" s="641">
        <f>+G25+G18</f>
        <v>26561682</v>
      </c>
    </row>
    <row r="27" spans="1:7" s="319" customFormat="1" ht="30" customHeight="1">
      <c r="A27" s="661"/>
      <c r="B27" s="662" t="s">
        <v>221</v>
      </c>
      <c r="C27" s="663" t="s">
        <v>600</v>
      </c>
      <c r="D27" s="638">
        <v>94593384</v>
      </c>
      <c r="E27" s="638">
        <v>94593384</v>
      </c>
      <c r="F27" s="638"/>
      <c r="G27" s="639"/>
    </row>
    <row r="28" spans="1:7" s="319" customFormat="1" ht="30" customHeight="1" thickBot="1">
      <c r="A28" s="664" t="s">
        <v>479</v>
      </c>
      <c r="B28" s="665"/>
      <c r="C28" s="666" t="s">
        <v>601</v>
      </c>
      <c r="D28" s="643">
        <f>SUM(D27)</f>
        <v>94593384</v>
      </c>
      <c r="E28" s="643">
        <f>SUM(E27)</f>
        <v>94593384</v>
      </c>
      <c r="F28" s="644">
        <v>0</v>
      </c>
      <c r="G28" s="645">
        <v>0</v>
      </c>
    </row>
    <row r="29" spans="1:7" s="319" customFormat="1" ht="30" customHeight="1" thickBot="1" thickTop="1">
      <c r="A29" s="762" t="s">
        <v>223</v>
      </c>
      <c r="B29" s="763"/>
      <c r="C29" s="763"/>
      <c r="D29" s="646">
        <f>+D26+D28</f>
        <v>9274100000</v>
      </c>
      <c r="E29" s="646">
        <f>+E26+E28</f>
        <v>8090102793</v>
      </c>
      <c r="F29" s="646">
        <f>+F26+F28</f>
        <v>1157435525</v>
      </c>
      <c r="G29" s="647">
        <f>+G26+G28</f>
        <v>26561682</v>
      </c>
    </row>
    <row r="30" spans="1:4" s="318" customFormat="1" ht="16.5" thickTop="1">
      <c r="A30" s="324"/>
      <c r="B30" s="324"/>
      <c r="C30" s="325"/>
      <c r="D30" s="326"/>
    </row>
    <row r="31" spans="1:4" s="318" customFormat="1" ht="15.75">
      <c r="A31" s="327"/>
      <c r="B31" s="327"/>
      <c r="C31" s="325" t="s">
        <v>13</v>
      </c>
      <c r="D31" s="326"/>
    </row>
    <row r="32" spans="1:4" s="318" customFormat="1" ht="15.75">
      <c r="A32" s="327"/>
      <c r="B32" s="327"/>
      <c r="C32" s="325"/>
      <c r="D32" s="326"/>
    </row>
    <row r="33" spans="1:4" s="318" customFormat="1" ht="15.75">
      <c r="A33" s="324"/>
      <c r="B33" s="324"/>
      <c r="C33" s="325"/>
      <c r="D33" s="321"/>
    </row>
    <row r="34" spans="1:4" s="318" customFormat="1" ht="15.75">
      <c r="A34" s="325"/>
      <c r="B34" s="325"/>
      <c r="D34" s="328"/>
    </row>
    <row r="35" spans="1:4" s="318" customFormat="1" ht="15.75">
      <c r="A35" s="325"/>
      <c r="B35" s="325"/>
      <c r="D35" s="328"/>
    </row>
    <row r="36" spans="1:4" s="318" customFormat="1" ht="15.75">
      <c r="A36" s="325"/>
      <c r="B36" s="325"/>
      <c r="D36" s="319"/>
    </row>
    <row r="37" spans="1:4" s="318" customFormat="1" ht="15.75">
      <c r="A37" s="325"/>
      <c r="B37" s="325"/>
      <c r="D37" s="319"/>
    </row>
    <row r="38" spans="1:2" s="318" customFormat="1" ht="15.75">
      <c r="A38" s="325"/>
      <c r="B38" s="325"/>
    </row>
    <row r="39" spans="1:2" s="318" customFormat="1" ht="15.75">
      <c r="A39" s="325"/>
      <c r="B39" s="325"/>
    </row>
    <row r="40" spans="1:2" s="318" customFormat="1" ht="15.75">
      <c r="A40" s="325"/>
      <c r="B40" s="325"/>
    </row>
    <row r="41" spans="1:2" s="318" customFormat="1" ht="15.75">
      <c r="A41" s="325"/>
      <c r="B41" s="325"/>
    </row>
    <row r="42" spans="1:2" s="318" customFormat="1" ht="15.75">
      <c r="A42" s="325"/>
      <c r="B42" s="325"/>
    </row>
    <row r="43" spans="1:2" s="318" customFormat="1" ht="15.75">
      <c r="A43" s="325"/>
      <c r="B43" s="325"/>
    </row>
    <row r="44" spans="1:2" s="318" customFormat="1" ht="15.75">
      <c r="A44" s="325"/>
      <c r="B44" s="325"/>
    </row>
    <row r="45" spans="1:2" s="318" customFormat="1" ht="15.75">
      <c r="A45" s="325"/>
      <c r="B45" s="325"/>
    </row>
    <row r="46" spans="1:2" s="318" customFormat="1" ht="15.75">
      <c r="A46" s="325"/>
      <c r="B46" s="325"/>
    </row>
    <row r="47" spans="1:2" s="318" customFormat="1" ht="15.75">
      <c r="A47" s="325"/>
      <c r="B47" s="325"/>
    </row>
    <row r="48" spans="1:2" s="318" customFormat="1" ht="15.75">
      <c r="A48" s="325"/>
      <c r="B48" s="325"/>
    </row>
    <row r="49" spans="1:2" s="318" customFormat="1" ht="15.75">
      <c r="A49" s="325"/>
      <c r="B49" s="325"/>
    </row>
    <row r="50" spans="1:2" s="318" customFormat="1" ht="15.75">
      <c r="A50" s="325"/>
      <c r="B50" s="325"/>
    </row>
    <row r="51" spans="1:2" s="318" customFormat="1" ht="15.75">
      <c r="A51" s="325"/>
      <c r="B51" s="325"/>
    </row>
    <row r="52" spans="1:2" s="318" customFormat="1" ht="15.75">
      <c r="A52" s="325"/>
      <c r="B52" s="325"/>
    </row>
    <row r="53" spans="1:2" s="318" customFormat="1" ht="15.75">
      <c r="A53" s="325"/>
      <c r="B53" s="325"/>
    </row>
    <row r="54" spans="1:2" s="318" customFormat="1" ht="15.75">
      <c r="A54" s="325"/>
      <c r="B54" s="325"/>
    </row>
    <row r="55" spans="1:4" ht="12.75">
      <c r="A55" s="329"/>
      <c r="B55" s="329"/>
      <c r="D55" s="1"/>
    </row>
    <row r="56" spans="1:4" ht="12.75">
      <c r="A56" s="329"/>
      <c r="B56" s="329"/>
      <c r="D56" s="1"/>
    </row>
    <row r="57" spans="1:4" ht="12.75">
      <c r="A57" s="329"/>
      <c r="B57" s="329"/>
      <c r="D57" s="1"/>
    </row>
    <row r="58" spans="1:4" ht="12.75">
      <c r="A58" s="329"/>
      <c r="B58" s="329"/>
      <c r="D58" s="1"/>
    </row>
    <row r="59" spans="1:4" ht="12.75">
      <c r="A59" s="329"/>
      <c r="B59" s="329"/>
      <c r="D59" s="1"/>
    </row>
    <row r="60" spans="1:4" ht="12.75">
      <c r="A60" s="329"/>
      <c r="B60" s="329"/>
      <c r="D60" s="1"/>
    </row>
  </sheetData>
  <sheetProtection/>
  <mergeCells count="9">
    <mergeCell ref="E6:G6"/>
    <mergeCell ref="A2:G2"/>
    <mergeCell ref="A3:G3"/>
    <mergeCell ref="A4:G4"/>
    <mergeCell ref="A29:C29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E35"/>
  <sheetViews>
    <sheetView zoomScale="80" zoomScaleNormal="80" zoomScaleSheetLayoutView="75" workbookViewId="0" topLeftCell="A1">
      <selection activeCell="AH12" sqref="AH12"/>
    </sheetView>
  </sheetViews>
  <sheetFormatPr defaultColWidth="9.00390625" defaultRowHeight="12.75"/>
  <cols>
    <col min="1" max="1" width="4.875" style="352" customWidth="1"/>
    <col min="2" max="2" width="5.00390625" style="352" bestFit="1" customWidth="1"/>
    <col min="3" max="3" width="4.375" style="352" bestFit="1" customWidth="1"/>
    <col min="4" max="4" width="4.875" style="352" bestFit="1" customWidth="1"/>
    <col min="5" max="5" width="38.375" style="31" customWidth="1"/>
    <col min="6" max="6" width="14.375" style="31" bestFit="1" customWidth="1"/>
    <col min="7" max="7" width="12.75390625" style="31" bestFit="1" customWidth="1"/>
    <col min="8" max="8" width="14.375" style="31" bestFit="1" customWidth="1"/>
    <col min="9" max="9" width="11.625" style="31" bestFit="1" customWidth="1"/>
    <col min="10" max="11" width="12.75390625" style="31" bestFit="1" customWidth="1"/>
    <col min="12" max="12" width="12.375" style="31" bestFit="1" customWidth="1"/>
    <col min="13" max="13" width="14.375" style="31" bestFit="1" customWidth="1"/>
    <col min="14" max="14" width="11.625" style="31" bestFit="1" customWidth="1"/>
    <col min="15" max="15" width="14.375" style="31" bestFit="1" customWidth="1"/>
    <col min="16" max="16" width="11.125" style="31" bestFit="1" customWidth="1"/>
    <col min="17" max="18" width="12.75390625" style="31" bestFit="1" customWidth="1"/>
    <col min="19" max="19" width="16.125" style="31" bestFit="1" customWidth="1"/>
    <col min="20" max="20" width="14.25390625" style="31" bestFit="1" customWidth="1"/>
    <col min="21" max="21" width="14.375" style="31" bestFit="1" customWidth="1"/>
    <col min="22" max="22" width="12.125" style="31" bestFit="1" customWidth="1"/>
    <col min="23" max="26" width="14.375" style="31" bestFit="1" customWidth="1"/>
    <col min="27" max="27" width="14.75390625" style="31" bestFit="1" customWidth="1"/>
    <col min="28" max="28" width="13.75390625" style="31" bestFit="1" customWidth="1"/>
    <col min="29" max="29" width="11.25390625" style="31" bestFit="1" customWidth="1"/>
    <col min="30" max="30" width="12.25390625" style="31" bestFit="1" customWidth="1"/>
    <col min="31" max="16384" width="9.125" style="31" customWidth="1"/>
  </cols>
  <sheetData>
    <row r="1" spans="1:30" ht="15.75">
      <c r="A1" s="775" t="s">
        <v>0</v>
      </c>
      <c r="B1" s="775"/>
      <c r="C1" s="775"/>
      <c r="D1" s="775"/>
      <c r="E1" s="775"/>
      <c r="O1" s="348"/>
      <c r="P1" s="349"/>
      <c r="Q1" s="349"/>
      <c r="AB1" s="33"/>
      <c r="AD1" s="184" t="s">
        <v>583</v>
      </c>
    </row>
    <row r="2" spans="1:17" ht="15.75">
      <c r="A2" s="347"/>
      <c r="B2" s="347"/>
      <c r="C2" s="347"/>
      <c r="D2" s="347"/>
      <c r="E2" s="347"/>
      <c r="O2" s="350"/>
      <c r="P2" s="349"/>
      <c r="Q2" s="349"/>
    </row>
    <row r="3" spans="1:30" ht="19.5" customHeight="1">
      <c r="A3" s="779" t="s">
        <v>560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  <c r="AA3" s="779"/>
      <c r="AB3" s="779"/>
      <c r="AC3" s="779"/>
      <c r="AD3" s="779"/>
    </row>
    <row r="4" spans="1:30" ht="19.5" customHeight="1">
      <c r="A4" s="774" t="s">
        <v>561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4"/>
      <c r="Z4" s="774"/>
      <c r="AA4" s="774"/>
      <c r="AB4" s="774"/>
      <c r="AC4" s="774"/>
      <c r="AD4" s="351"/>
    </row>
    <row r="5" spans="1:30" ht="19.5" customHeight="1">
      <c r="A5" s="351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</row>
    <row r="6" spans="15:30" ht="15" customHeight="1" thickBot="1">
      <c r="O6" s="353"/>
      <c r="P6" s="354"/>
      <c r="Q6" s="354"/>
      <c r="AD6" s="353"/>
    </row>
    <row r="7" spans="1:30" s="34" customFormat="1" ht="12.75" customHeight="1" thickTop="1">
      <c r="A7" s="578"/>
      <c r="B7" s="776" t="s">
        <v>499</v>
      </c>
      <c r="C7" s="777"/>
      <c r="D7" s="778"/>
      <c r="E7" s="580"/>
      <c r="F7" s="581" t="s">
        <v>500</v>
      </c>
      <c r="G7" s="579" t="s">
        <v>501</v>
      </c>
      <c r="H7" s="581"/>
      <c r="I7" s="581" t="s">
        <v>564</v>
      </c>
      <c r="J7" s="581" t="s">
        <v>565</v>
      </c>
      <c r="K7" s="581" t="s">
        <v>503</v>
      </c>
      <c r="L7" s="581" t="s">
        <v>504</v>
      </c>
      <c r="M7" s="581" t="s">
        <v>504</v>
      </c>
      <c r="N7" s="581" t="s">
        <v>504</v>
      </c>
      <c r="O7" s="581" t="s">
        <v>504</v>
      </c>
      <c r="P7" s="581" t="s">
        <v>505</v>
      </c>
      <c r="Q7" s="581" t="s">
        <v>505</v>
      </c>
      <c r="R7" s="579"/>
      <c r="S7" s="581"/>
      <c r="T7" s="581" t="s">
        <v>506</v>
      </c>
      <c r="U7" s="581" t="s">
        <v>505</v>
      </c>
      <c r="V7" s="581" t="s">
        <v>568</v>
      </c>
      <c r="W7" s="581" t="s">
        <v>507</v>
      </c>
      <c r="X7" s="581" t="s">
        <v>508</v>
      </c>
      <c r="Y7" s="581" t="s">
        <v>568</v>
      </c>
      <c r="Z7" s="581" t="s">
        <v>509</v>
      </c>
      <c r="AA7" s="770" t="s">
        <v>502</v>
      </c>
      <c r="AB7" s="770"/>
      <c r="AC7" s="582" t="s">
        <v>510</v>
      </c>
      <c r="AD7" s="583" t="s">
        <v>511</v>
      </c>
    </row>
    <row r="8" spans="1:30" s="355" customFormat="1" ht="12.75" customHeight="1">
      <c r="A8" s="584" t="s">
        <v>512</v>
      </c>
      <c r="B8" s="771" t="s">
        <v>513</v>
      </c>
      <c r="C8" s="772"/>
      <c r="D8" s="773"/>
      <c r="E8" s="585" t="s">
        <v>514</v>
      </c>
      <c r="F8" s="586" t="s">
        <v>515</v>
      </c>
      <c r="G8" s="356" t="s">
        <v>516</v>
      </c>
      <c r="H8" s="586" t="s">
        <v>562</v>
      </c>
      <c r="I8" s="586" t="s">
        <v>563</v>
      </c>
      <c r="J8" s="586" t="s">
        <v>566</v>
      </c>
      <c r="K8" s="586" t="s">
        <v>518</v>
      </c>
      <c r="L8" s="586" t="s">
        <v>521</v>
      </c>
      <c r="M8" s="586" t="s">
        <v>519</v>
      </c>
      <c r="N8" s="586" t="s">
        <v>520</v>
      </c>
      <c r="O8" s="586" t="s">
        <v>519</v>
      </c>
      <c r="P8" s="586" t="s">
        <v>521</v>
      </c>
      <c r="Q8" s="586" t="s">
        <v>521</v>
      </c>
      <c r="R8" s="356" t="s">
        <v>522</v>
      </c>
      <c r="S8" s="586" t="s">
        <v>523</v>
      </c>
      <c r="T8" s="586" t="s">
        <v>524</v>
      </c>
      <c r="U8" s="586" t="s">
        <v>519</v>
      </c>
      <c r="V8" s="586" t="s">
        <v>519</v>
      </c>
      <c r="W8" s="586" t="s">
        <v>525</v>
      </c>
      <c r="X8" s="586" t="s">
        <v>569</v>
      </c>
      <c r="Y8" s="586" t="s">
        <v>569</v>
      </c>
      <c r="Z8" s="586" t="s">
        <v>526</v>
      </c>
      <c r="AA8" s="587" t="s">
        <v>527</v>
      </c>
      <c r="AB8" s="587" t="s">
        <v>528</v>
      </c>
      <c r="AC8" s="588" t="s">
        <v>529</v>
      </c>
      <c r="AD8" s="589" t="s">
        <v>530</v>
      </c>
    </row>
    <row r="9" spans="1:30" s="355" customFormat="1" ht="12.75" customHeight="1">
      <c r="A9" s="584" t="s">
        <v>531</v>
      </c>
      <c r="B9" s="585" t="s">
        <v>532</v>
      </c>
      <c r="C9" s="585" t="s">
        <v>533</v>
      </c>
      <c r="D9" s="585" t="s">
        <v>534</v>
      </c>
      <c r="E9" s="585" t="s">
        <v>535</v>
      </c>
      <c r="F9" s="586" t="s">
        <v>536</v>
      </c>
      <c r="G9" s="356" t="s">
        <v>537</v>
      </c>
      <c r="H9" s="586" t="s">
        <v>519</v>
      </c>
      <c r="I9" s="586" t="s">
        <v>551</v>
      </c>
      <c r="J9" s="586" t="s">
        <v>567</v>
      </c>
      <c r="K9" s="586" t="s">
        <v>517</v>
      </c>
      <c r="L9" s="586" t="s">
        <v>592</v>
      </c>
      <c r="M9" s="586" t="s">
        <v>538</v>
      </c>
      <c r="N9" s="586"/>
      <c r="O9" s="586" t="s">
        <v>539</v>
      </c>
      <c r="P9" s="586" t="s">
        <v>540</v>
      </c>
      <c r="Q9" s="586" t="s">
        <v>592</v>
      </c>
      <c r="R9" s="356"/>
      <c r="S9" s="586"/>
      <c r="T9" s="586" t="s">
        <v>520</v>
      </c>
      <c r="U9" s="586" t="s">
        <v>541</v>
      </c>
      <c r="V9" s="586"/>
      <c r="W9" s="586" t="s">
        <v>542</v>
      </c>
      <c r="X9" s="586"/>
      <c r="Y9" s="586"/>
      <c r="Z9" s="586" t="s">
        <v>543</v>
      </c>
      <c r="AA9" s="586" t="s">
        <v>544</v>
      </c>
      <c r="AB9" s="590" t="s">
        <v>545</v>
      </c>
      <c r="AC9" s="356" t="s">
        <v>546</v>
      </c>
      <c r="AD9" s="589" t="s">
        <v>547</v>
      </c>
    </row>
    <row r="10" spans="1:30" s="355" customFormat="1" ht="12.75" customHeight="1" thickBot="1">
      <c r="A10" s="591"/>
      <c r="B10" s="592"/>
      <c r="C10" s="592" t="s">
        <v>548</v>
      </c>
      <c r="D10" s="592" t="s">
        <v>549</v>
      </c>
      <c r="E10" s="592"/>
      <c r="F10" s="593"/>
      <c r="G10" s="594" t="s">
        <v>550</v>
      </c>
      <c r="H10" s="593"/>
      <c r="I10" s="593"/>
      <c r="J10" s="593"/>
      <c r="K10" s="593" t="s">
        <v>552</v>
      </c>
      <c r="L10" s="595" t="s">
        <v>593</v>
      </c>
      <c r="M10" s="595"/>
      <c r="N10" s="595"/>
      <c r="O10" s="593" t="s">
        <v>553</v>
      </c>
      <c r="P10" s="593" t="s">
        <v>554</v>
      </c>
      <c r="Q10" s="592" t="s">
        <v>593</v>
      </c>
      <c r="R10" s="592"/>
      <c r="S10" s="593"/>
      <c r="T10" s="593"/>
      <c r="U10" s="593" t="s">
        <v>538</v>
      </c>
      <c r="V10" s="593"/>
      <c r="W10" s="593"/>
      <c r="X10" s="593"/>
      <c r="Y10" s="593"/>
      <c r="Z10" s="593"/>
      <c r="AA10" s="593" t="s">
        <v>543</v>
      </c>
      <c r="AB10" s="593" t="s">
        <v>555</v>
      </c>
      <c r="AC10" s="596"/>
      <c r="AD10" s="357" t="s">
        <v>546</v>
      </c>
    </row>
    <row r="11" spans="1:30" s="550" customFormat="1" ht="24.75" customHeight="1" thickTop="1">
      <c r="A11" s="540">
        <v>1</v>
      </c>
      <c r="B11" s="541"/>
      <c r="C11" s="541"/>
      <c r="D11" s="542"/>
      <c r="E11" s="543" t="s">
        <v>353</v>
      </c>
      <c r="F11" s="544">
        <v>220604404</v>
      </c>
      <c r="G11" s="544">
        <v>31517026</v>
      </c>
      <c r="H11" s="544">
        <f>1562474217+53168</f>
        <v>1562527385</v>
      </c>
      <c r="I11" s="544">
        <v>11000000</v>
      </c>
      <c r="J11" s="544">
        <v>537993099</v>
      </c>
      <c r="K11" s="544">
        <v>149678506</v>
      </c>
      <c r="L11" s="544">
        <v>80000000</v>
      </c>
      <c r="M11" s="544">
        <f aca="true" t="shared" si="0" ref="M11:M18">SUM(F11:L11)</f>
        <v>2593320420</v>
      </c>
      <c r="N11" s="544">
        <v>53000000</v>
      </c>
      <c r="O11" s="544">
        <f>M11+N11</f>
        <v>2646320420</v>
      </c>
      <c r="P11" s="545">
        <v>6600000</v>
      </c>
      <c r="Q11" s="546">
        <v>443945000</v>
      </c>
      <c r="R11" s="546">
        <f>273483794-23300000</f>
        <v>250183794</v>
      </c>
      <c r="S11" s="547">
        <v>2060355102</v>
      </c>
      <c r="T11" s="547">
        <v>499500000</v>
      </c>
      <c r="U11" s="546">
        <f>SUM(P11:T11)</f>
        <v>3260583896</v>
      </c>
      <c r="V11" s="546">
        <v>94593384</v>
      </c>
      <c r="W11" s="546">
        <f>+V11+U11+O11</f>
        <v>6001497700</v>
      </c>
      <c r="X11" s="546">
        <f>5634386930+53168</f>
        <v>5634440098</v>
      </c>
      <c r="Y11" s="546">
        <f>3362580000-23300000</f>
        <v>3339280000</v>
      </c>
      <c r="Z11" s="546"/>
      <c r="AA11" s="546">
        <v>335910769</v>
      </c>
      <c r="AB11" s="546"/>
      <c r="AC11" s="548">
        <v>13</v>
      </c>
      <c r="AD11" s="549">
        <v>6</v>
      </c>
    </row>
    <row r="12" spans="1:30" s="154" customFormat="1" ht="24.75" customHeight="1">
      <c r="A12" s="551" t="s">
        <v>356</v>
      </c>
      <c r="B12" s="552" t="s">
        <v>556</v>
      </c>
      <c r="C12" s="552"/>
      <c r="D12" s="553"/>
      <c r="E12" s="554" t="s">
        <v>557</v>
      </c>
      <c r="F12" s="555">
        <f>+F11-F13</f>
        <v>194594404</v>
      </c>
      <c r="G12" s="555">
        <f>+G11-G13</f>
        <v>25543674</v>
      </c>
      <c r="H12" s="555">
        <f>+H11-H13</f>
        <v>1276309186</v>
      </c>
      <c r="I12" s="555">
        <f>+I11-I13</f>
        <v>5000000</v>
      </c>
      <c r="J12" s="555">
        <v>537993099</v>
      </c>
      <c r="K12" s="555">
        <v>77038506</v>
      </c>
      <c r="L12" s="555"/>
      <c r="M12" s="555">
        <f t="shared" si="0"/>
        <v>2116478869</v>
      </c>
      <c r="N12" s="555">
        <v>53000000</v>
      </c>
      <c r="O12" s="555">
        <f aca="true" t="shared" si="1" ref="O12:O28">M12+N12</f>
        <v>2169478869</v>
      </c>
      <c r="P12" s="556"/>
      <c r="Q12" s="557"/>
      <c r="R12" s="557">
        <f>+R11-R13</f>
        <v>114535697.25</v>
      </c>
      <c r="S12" s="558">
        <f>+S11-S13</f>
        <v>1965954225</v>
      </c>
      <c r="T12" s="557">
        <v>499500000</v>
      </c>
      <c r="U12" s="558">
        <f>SUM(P12:T12)</f>
        <v>2579989922.25</v>
      </c>
      <c r="V12" s="558">
        <v>94593384</v>
      </c>
      <c r="W12" s="558">
        <f aca="true" t="shared" si="2" ref="W12:W26">+V12+U12+O12</f>
        <v>4844062175.25</v>
      </c>
      <c r="X12" s="558">
        <f>+X11-X13</f>
        <v>5617967585</v>
      </c>
      <c r="Y12" s="558">
        <v>3339280000</v>
      </c>
      <c r="Z12" s="557"/>
      <c r="AA12" s="558">
        <v>335910769</v>
      </c>
      <c r="AB12" s="558"/>
      <c r="AC12" s="559">
        <v>13</v>
      </c>
      <c r="AD12" s="560">
        <v>6</v>
      </c>
    </row>
    <row r="13" spans="1:30" s="154" customFormat="1" ht="24.75" customHeight="1">
      <c r="A13" s="551" t="s">
        <v>357</v>
      </c>
      <c r="B13" s="552"/>
      <c r="C13" s="552" t="s">
        <v>556</v>
      </c>
      <c r="D13" s="553"/>
      <c r="E13" s="554" t="s">
        <v>559</v>
      </c>
      <c r="F13" s="555">
        <v>26010000</v>
      </c>
      <c r="G13" s="555">
        <v>5973352</v>
      </c>
      <c r="H13" s="555">
        <v>286218199</v>
      </c>
      <c r="I13" s="555">
        <v>6000000</v>
      </c>
      <c r="J13" s="555"/>
      <c r="K13" s="555">
        <f>72490000+150000</f>
        <v>72640000</v>
      </c>
      <c r="L13" s="555">
        <v>80000000</v>
      </c>
      <c r="M13" s="555">
        <f t="shared" si="0"/>
        <v>476841551</v>
      </c>
      <c r="N13" s="555"/>
      <c r="O13" s="555">
        <f t="shared" si="1"/>
        <v>476841551</v>
      </c>
      <c r="P13" s="561">
        <v>6600000</v>
      </c>
      <c r="Q13" s="488">
        <v>443945000</v>
      </c>
      <c r="R13" s="557">
        <v>135648096.75</v>
      </c>
      <c r="S13" s="558">
        <v>94400877</v>
      </c>
      <c r="T13" s="557"/>
      <c r="U13" s="558">
        <f>SUM(P13:T13)</f>
        <v>680593973.75</v>
      </c>
      <c r="V13" s="558"/>
      <c r="W13" s="558">
        <f>+V13+U13+O13</f>
        <v>1157435524.75</v>
      </c>
      <c r="X13" s="558">
        <f>10000000+6472513</f>
        <v>16472513</v>
      </c>
      <c r="Y13" s="558"/>
      <c r="Z13" s="557"/>
      <c r="AA13" s="558"/>
      <c r="AB13" s="558"/>
      <c r="AC13" s="559"/>
      <c r="AD13" s="560"/>
    </row>
    <row r="14" spans="1:30" s="550" customFormat="1" ht="24.75" customHeight="1">
      <c r="A14" s="540">
        <v>2</v>
      </c>
      <c r="B14" s="541"/>
      <c r="C14" s="541"/>
      <c r="D14" s="542"/>
      <c r="E14" s="543" t="s">
        <v>498</v>
      </c>
      <c r="F14" s="544">
        <v>522844700</v>
      </c>
      <c r="G14" s="544">
        <v>78353800</v>
      </c>
      <c r="H14" s="544">
        <v>141860000</v>
      </c>
      <c r="I14" s="544"/>
      <c r="J14" s="544"/>
      <c r="K14" s="544"/>
      <c r="L14" s="544"/>
      <c r="M14" s="544">
        <f t="shared" si="0"/>
        <v>743058500</v>
      </c>
      <c r="N14" s="544"/>
      <c r="O14" s="544">
        <f t="shared" si="1"/>
        <v>743058500</v>
      </c>
      <c r="P14" s="545"/>
      <c r="Q14" s="546"/>
      <c r="R14" s="546"/>
      <c r="S14" s="546">
        <v>25135000</v>
      </c>
      <c r="T14" s="546"/>
      <c r="U14" s="546">
        <f>SUM(P14:T14)</f>
        <v>25135000</v>
      </c>
      <c r="V14" s="546"/>
      <c r="W14" s="546">
        <f t="shared" si="2"/>
        <v>768193500</v>
      </c>
      <c r="X14" s="546">
        <v>11460002</v>
      </c>
      <c r="Y14" s="546"/>
      <c r="Z14" s="546">
        <f>W14-X14</f>
        <v>756733498</v>
      </c>
      <c r="AA14" s="546">
        <v>481719000</v>
      </c>
      <c r="AB14" s="546">
        <f>Z14-AA14</f>
        <v>275014498</v>
      </c>
      <c r="AC14" s="548">
        <v>88</v>
      </c>
      <c r="AD14" s="549"/>
    </row>
    <row r="15" spans="1:30" s="564" customFormat="1" ht="24.75" customHeight="1">
      <c r="A15" s="562" t="s">
        <v>682</v>
      </c>
      <c r="B15" s="552" t="s">
        <v>556</v>
      </c>
      <c r="C15" s="552"/>
      <c r="D15" s="553"/>
      <c r="E15" s="554" t="s">
        <v>557</v>
      </c>
      <c r="F15" s="555">
        <f>+F14-F16</f>
        <v>502204700</v>
      </c>
      <c r="G15" s="555">
        <f>+G14-G16</f>
        <v>75290440</v>
      </c>
      <c r="H15" s="555">
        <f>+H14-H16</f>
        <v>139001678</v>
      </c>
      <c r="I15" s="555"/>
      <c r="J15" s="555"/>
      <c r="K15" s="555"/>
      <c r="L15" s="555"/>
      <c r="M15" s="555">
        <f t="shared" si="0"/>
        <v>716496818</v>
      </c>
      <c r="N15" s="555"/>
      <c r="O15" s="555">
        <f t="shared" si="1"/>
        <v>716496818</v>
      </c>
      <c r="P15" s="563"/>
      <c r="Q15" s="558"/>
      <c r="R15" s="558"/>
      <c r="S15" s="558">
        <v>25135000</v>
      </c>
      <c r="T15" s="558"/>
      <c r="U15" s="558">
        <f>SUM(P15:T15)</f>
        <v>25135000</v>
      </c>
      <c r="V15" s="558"/>
      <c r="W15" s="558">
        <f t="shared" si="2"/>
        <v>741631818</v>
      </c>
      <c r="X15" s="558">
        <f>+X14-X16</f>
        <v>7142002</v>
      </c>
      <c r="Y15" s="558"/>
      <c r="Z15" s="558">
        <f>W15-X15</f>
        <v>734489816</v>
      </c>
      <c r="AA15" s="558">
        <f>+AA14-AA16</f>
        <v>465340554</v>
      </c>
      <c r="AB15" s="558">
        <f>Z15-AA15</f>
        <v>269149262</v>
      </c>
      <c r="AC15" s="559">
        <v>85</v>
      </c>
      <c r="AD15" s="560"/>
    </row>
    <row r="16" spans="1:30" s="564" customFormat="1" ht="24.75" customHeight="1">
      <c r="A16" s="562" t="s">
        <v>683</v>
      </c>
      <c r="B16" s="552"/>
      <c r="C16" s="552"/>
      <c r="D16" s="553" t="s">
        <v>556</v>
      </c>
      <c r="E16" s="554" t="s">
        <v>558</v>
      </c>
      <c r="F16" s="555">
        <v>20640000</v>
      </c>
      <c r="G16" s="555">
        <v>3063360</v>
      </c>
      <c r="H16" s="555">
        <v>2858322</v>
      </c>
      <c r="I16" s="555"/>
      <c r="J16" s="555"/>
      <c r="K16" s="555"/>
      <c r="L16" s="555"/>
      <c r="M16" s="555">
        <f t="shared" si="0"/>
        <v>26561682</v>
      </c>
      <c r="N16" s="555"/>
      <c r="O16" s="555">
        <f t="shared" si="1"/>
        <v>26561682</v>
      </c>
      <c r="P16" s="563"/>
      <c r="Q16" s="558"/>
      <c r="R16" s="558"/>
      <c r="S16" s="558"/>
      <c r="T16" s="558"/>
      <c r="U16" s="558"/>
      <c r="V16" s="558"/>
      <c r="W16" s="558">
        <f t="shared" si="2"/>
        <v>26561682</v>
      </c>
      <c r="X16" s="558">
        <v>4318000</v>
      </c>
      <c r="Y16" s="558"/>
      <c r="Z16" s="558">
        <f>W16-X16</f>
        <v>22243682</v>
      </c>
      <c r="AA16" s="558">
        <v>16378446</v>
      </c>
      <c r="AB16" s="558">
        <f>Z16-AA16</f>
        <v>5865236</v>
      </c>
      <c r="AC16" s="559">
        <v>3</v>
      </c>
      <c r="AD16" s="560"/>
    </row>
    <row r="17" spans="1:30" s="566" customFormat="1" ht="24.75" customHeight="1">
      <c r="A17" s="540">
        <v>3</v>
      </c>
      <c r="B17" s="541" t="s">
        <v>556</v>
      </c>
      <c r="C17" s="541"/>
      <c r="D17" s="542"/>
      <c r="E17" s="565" t="s">
        <v>570</v>
      </c>
      <c r="F17" s="544">
        <f>SUM(F18:F26)</f>
        <v>1464102000</v>
      </c>
      <c r="G17" s="544">
        <f>SUM(G18:G26)</f>
        <v>230427000</v>
      </c>
      <c r="H17" s="544">
        <f>SUM(H18:H26)</f>
        <v>751334000</v>
      </c>
      <c r="I17" s="544"/>
      <c r="J17" s="544"/>
      <c r="K17" s="544"/>
      <c r="L17" s="544"/>
      <c r="M17" s="544">
        <f t="shared" si="0"/>
        <v>2445863000</v>
      </c>
      <c r="N17" s="544"/>
      <c r="O17" s="544">
        <f t="shared" si="1"/>
        <v>2445863000</v>
      </c>
      <c r="P17" s="545"/>
      <c r="Q17" s="546"/>
      <c r="R17" s="546"/>
      <c r="S17" s="546">
        <f>SUM(S18:S26)</f>
        <v>26379000</v>
      </c>
      <c r="T17" s="546"/>
      <c r="U17" s="546">
        <f>SUM(P17:T17)</f>
        <v>26379000</v>
      </c>
      <c r="V17" s="546"/>
      <c r="W17" s="546">
        <f t="shared" si="2"/>
        <v>2472242000</v>
      </c>
      <c r="X17" s="546">
        <f>SUM(X18:X26)</f>
        <v>284419900</v>
      </c>
      <c r="Y17" s="546"/>
      <c r="Z17" s="546">
        <f>SUM(Z18:Z26)</f>
        <v>2187822100</v>
      </c>
      <c r="AA17" s="546">
        <f>SUM(AA18:AA26)</f>
        <v>1767118801</v>
      </c>
      <c r="AB17" s="546">
        <f>Z17-AA17</f>
        <v>420703299</v>
      </c>
      <c r="AC17" s="548">
        <f>SUM(AC18:AC26)</f>
        <v>303</v>
      </c>
      <c r="AD17" s="549"/>
    </row>
    <row r="18" spans="1:30" s="566" customFormat="1" ht="24.75" customHeight="1">
      <c r="A18" s="562" t="s">
        <v>684</v>
      </c>
      <c r="B18" s="552"/>
      <c r="C18" s="552"/>
      <c r="D18" s="553"/>
      <c r="E18" s="567" t="s">
        <v>640</v>
      </c>
      <c r="F18" s="555">
        <f>31405000+60799000</f>
        <v>92204000</v>
      </c>
      <c r="G18" s="555">
        <f>4649000+9482000</f>
        <v>14131000</v>
      </c>
      <c r="H18" s="555">
        <f>5256000+9011600</f>
        <v>14267600</v>
      </c>
      <c r="I18" s="555"/>
      <c r="J18" s="555"/>
      <c r="K18" s="555"/>
      <c r="L18" s="555"/>
      <c r="M18" s="555">
        <f t="shared" si="0"/>
        <v>120602600</v>
      </c>
      <c r="N18" s="555"/>
      <c r="O18" s="555">
        <f t="shared" si="1"/>
        <v>120602600</v>
      </c>
      <c r="P18" s="563"/>
      <c r="Q18" s="558"/>
      <c r="R18" s="558"/>
      <c r="S18" s="558">
        <v>178000</v>
      </c>
      <c r="T18" s="558"/>
      <c r="U18" s="558">
        <f aca="true" t="shared" si="3" ref="U18:U24">SUM(P18:T18)</f>
        <v>178000</v>
      </c>
      <c r="V18" s="558"/>
      <c r="W18" s="558">
        <f t="shared" si="2"/>
        <v>120780600</v>
      </c>
      <c r="X18" s="558"/>
      <c r="Y18" s="558"/>
      <c r="Z18" s="558">
        <f>W18-X18</f>
        <v>120780600</v>
      </c>
      <c r="AA18" s="558"/>
      <c r="AB18" s="558">
        <f>+Z18-AA18</f>
        <v>120780600</v>
      </c>
      <c r="AC18" s="559">
        <v>18.5</v>
      </c>
      <c r="AD18" s="560"/>
    </row>
    <row r="19" spans="1:30" s="566" customFormat="1" ht="24.75" customHeight="1">
      <c r="A19" s="562" t="s">
        <v>685</v>
      </c>
      <c r="B19" s="552"/>
      <c r="C19" s="552"/>
      <c r="D19" s="553"/>
      <c r="E19" s="567" t="s">
        <v>641</v>
      </c>
      <c r="F19" s="555">
        <v>57658000</v>
      </c>
      <c r="G19" s="555">
        <v>9205000</v>
      </c>
      <c r="H19" s="555">
        <v>14949000</v>
      </c>
      <c r="I19" s="555"/>
      <c r="J19" s="555"/>
      <c r="K19" s="555"/>
      <c r="L19" s="555"/>
      <c r="M19" s="555">
        <f aca="true" t="shared" si="4" ref="M19:M26">SUM(F19:L19)</f>
        <v>81812000</v>
      </c>
      <c r="N19" s="555"/>
      <c r="O19" s="555">
        <f t="shared" si="1"/>
        <v>81812000</v>
      </c>
      <c r="P19" s="563"/>
      <c r="Q19" s="558"/>
      <c r="R19" s="558"/>
      <c r="S19" s="558">
        <v>10081000</v>
      </c>
      <c r="T19" s="558"/>
      <c r="U19" s="558">
        <f t="shared" si="3"/>
        <v>10081000</v>
      </c>
      <c r="V19" s="558"/>
      <c r="W19" s="558">
        <f t="shared" si="2"/>
        <v>91893000</v>
      </c>
      <c r="X19" s="558">
        <v>1055000</v>
      </c>
      <c r="Y19" s="558"/>
      <c r="Z19" s="558">
        <f aca="true" t="shared" si="5" ref="Z19:Z26">W19-X19</f>
        <v>90838000</v>
      </c>
      <c r="AA19" s="558">
        <v>76519649</v>
      </c>
      <c r="AB19" s="558">
        <f>+Z19-AA19</f>
        <v>14318351</v>
      </c>
      <c r="AC19" s="559">
        <v>11</v>
      </c>
      <c r="AD19" s="560"/>
    </row>
    <row r="20" spans="1:30" s="566" customFormat="1" ht="24.75" customHeight="1">
      <c r="A20" s="562" t="s">
        <v>686</v>
      </c>
      <c r="B20" s="552"/>
      <c r="C20" s="552"/>
      <c r="D20" s="553"/>
      <c r="E20" s="567" t="s">
        <v>642</v>
      </c>
      <c r="F20" s="555">
        <f>20532000+69313000</f>
        <v>89845000</v>
      </c>
      <c r="G20" s="555">
        <f>3205000+10640000</f>
        <v>13845000</v>
      </c>
      <c r="H20" s="555">
        <f>4670000+6753000</f>
        <v>11423000</v>
      </c>
      <c r="I20" s="555"/>
      <c r="J20" s="555"/>
      <c r="K20" s="555"/>
      <c r="L20" s="555"/>
      <c r="M20" s="555">
        <f t="shared" si="4"/>
        <v>115113000</v>
      </c>
      <c r="N20" s="555"/>
      <c r="O20" s="555">
        <f t="shared" si="1"/>
        <v>115113000</v>
      </c>
      <c r="P20" s="563"/>
      <c r="Q20" s="558"/>
      <c r="R20" s="558"/>
      <c r="S20" s="558">
        <f>73000+567000</f>
        <v>640000</v>
      </c>
      <c r="T20" s="558"/>
      <c r="U20" s="558">
        <f t="shared" si="3"/>
        <v>640000</v>
      </c>
      <c r="V20" s="558"/>
      <c r="W20" s="558">
        <f t="shared" si="2"/>
        <v>115753000</v>
      </c>
      <c r="X20" s="558"/>
      <c r="Y20" s="558"/>
      <c r="Z20" s="558">
        <f t="shared" si="5"/>
        <v>115753000</v>
      </c>
      <c r="AA20" s="558">
        <f>54736861+49294649</f>
        <v>104031510</v>
      </c>
      <c r="AB20" s="558">
        <f>+Z20-AA20</f>
        <v>11721490</v>
      </c>
      <c r="AC20" s="559">
        <v>27</v>
      </c>
      <c r="AD20" s="560"/>
    </row>
    <row r="21" spans="1:30" s="566" customFormat="1" ht="24.75" customHeight="1">
      <c r="A21" s="562" t="s">
        <v>687</v>
      </c>
      <c r="B21" s="552"/>
      <c r="C21" s="552"/>
      <c r="D21" s="553"/>
      <c r="E21" s="567" t="s">
        <v>643</v>
      </c>
      <c r="F21" s="555">
        <v>39473000</v>
      </c>
      <c r="G21" s="555">
        <v>6168000</v>
      </c>
      <c r="H21" s="555">
        <f>11639000</f>
        <v>11639000</v>
      </c>
      <c r="I21" s="555"/>
      <c r="J21" s="555"/>
      <c r="K21" s="555"/>
      <c r="L21" s="555"/>
      <c r="M21" s="555">
        <f t="shared" si="4"/>
        <v>57280000</v>
      </c>
      <c r="N21" s="555"/>
      <c r="O21" s="555">
        <f t="shared" si="1"/>
        <v>57280000</v>
      </c>
      <c r="P21" s="563"/>
      <c r="Q21" s="558"/>
      <c r="R21" s="558"/>
      <c r="S21" s="558">
        <v>210000</v>
      </c>
      <c r="T21" s="558"/>
      <c r="U21" s="558">
        <f t="shared" si="3"/>
        <v>210000</v>
      </c>
      <c r="V21" s="558"/>
      <c r="W21" s="558">
        <f t="shared" si="2"/>
        <v>57490000</v>
      </c>
      <c r="X21" s="558"/>
      <c r="Y21" s="558"/>
      <c r="Z21" s="558">
        <f t="shared" si="5"/>
        <v>57490000</v>
      </c>
      <c r="AA21" s="558">
        <v>28209170</v>
      </c>
      <c r="AB21" s="558">
        <f aca="true" t="shared" si="6" ref="AB21:AB26">+Z21-AA21</f>
        <v>29280830</v>
      </c>
      <c r="AC21" s="559">
        <v>12</v>
      </c>
      <c r="AD21" s="560"/>
    </row>
    <row r="22" spans="1:30" s="566" customFormat="1" ht="24.75" customHeight="1">
      <c r="A22" s="562" t="s">
        <v>688</v>
      </c>
      <c r="B22" s="552"/>
      <c r="C22" s="552"/>
      <c r="D22" s="553"/>
      <c r="E22" s="567" t="s">
        <v>644</v>
      </c>
      <c r="F22" s="555">
        <v>889924000</v>
      </c>
      <c r="G22" s="555">
        <v>140653000</v>
      </c>
      <c r="H22" s="555">
        <f>290179000-180115000</f>
        <v>110064000</v>
      </c>
      <c r="I22" s="555"/>
      <c r="J22" s="555"/>
      <c r="K22" s="555"/>
      <c r="L22" s="555"/>
      <c r="M22" s="555">
        <f t="shared" si="4"/>
        <v>1140641000</v>
      </c>
      <c r="N22" s="555"/>
      <c r="O22" s="555">
        <f t="shared" si="1"/>
        <v>1140641000</v>
      </c>
      <c r="P22" s="563"/>
      <c r="Q22" s="558"/>
      <c r="R22" s="558"/>
      <c r="S22" s="558">
        <v>12063000</v>
      </c>
      <c r="T22" s="558"/>
      <c r="U22" s="558">
        <f t="shared" si="3"/>
        <v>12063000</v>
      </c>
      <c r="V22" s="558"/>
      <c r="W22" s="558">
        <f t="shared" si="2"/>
        <v>1152704000</v>
      </c>
      <c r="X22" s="558"/>
      <c r="Y22" s="558"/>
      <c r="Z22" s="558">
        <f t="shared" si="5"/>
        <v>1152704000</v>
      </c>
      <c r="AA22" s="558">
        <v>994114310</v>
      </c>
      <c r="AB22" s="558">
        <f t="shared" si="6"/>
        <v>158589690</v>
      </c>
      <c r="AC22" s="559">
        <v>177</v>
      </c>
      <c r="AD22" s="560"/>
    </row>
    <row r="23" spans="1:30" s="568" customFormat="1" ht="24.75" customHeight="1">
      <c r="A23" s="562" t="s">
        <v>689</v>
      </c>
      <c r="B23" s="552"/>
      <c r="C23" s="552"/>
      <c r="D23" s="553"/>
      <c r="E23" s="567" t="s">
        <v>645</v>
      </c>
      <c r="F23" s="555">
        <f>66808000+116022000+64167000+48001000</f>
        <v>294998000</v>
      </c>
      <c r="G23" s="555">
        <f>10456000+18248000+10233000+7488000</f>
        <v>46425000</v>
      </c>
      <c r="H23" s="555">
        <f>15278000+28354400+20029000+12485000-34408000</f>
        <v>41738400</v>
      </c>
      <c r="I23" s="555"/>
      <c r="J23" s="555"/>
      <c r="K23" s="555"/>
      <c r="L23" s="555"/>
      <c r="M23" s="555">
        <f t="shared" si="4"/>
        <v>383161400</v>
      </c>
      <c r="N23" s="555"/>
      <c r="O23" s="555">
        <f t="shared" si="1"/>
        <v>383161400</v>
      </c>
      <c r="P23" s="563"/>
      <c r="Q23" s="558"/>
      <c r="R23" s="558"/>
      <c r="S23" s="558">
        <f>274000+625000+282000+70000</f>
        <v>1251000</v>
      </c>
      <c r="T23" s="558"/>
      <c r="U23" s="558">
        <f t="shared" si="3"/>
        <v>1251000</v>
      </c>
      <c r="V23" s="558"/>
      <c r="W23" s="558">
        <f t="shared" si="2"/>
        <v>384412400</v>
      </c>
      <c r="X23" s="558"/>
      <c r="Y23" s="558"/>
      <c r="Z23" s="558">
        <f t="shared" si="5"/>
        <v>384412400</v>
      </c>
      <c r="AA23" s="558">
        <v>314873700</v>
      </c>
      <c r="AB23" s="558">
        <f t="shared" si="6"/>
        <v>69538700</v>
      </c>
      <c r="AC23" s="559">
        <v>57.5</v>
      </c>
      <c r="AD23" s="560"/>
    </row>
    <row r="24" spans="1:30" s="566" customFormat="1" ht="24.75" customHeight="1">
      <c r="A24" s="562" t="s">
        <v>690</v>
      </c>
      <c r="B24" s="552"/>
      <c r="C24" s="552"/>
      <c r="D24" s="553"/>
      <c r="E24" s="567" t="s">
        <v>676</v>
      </c>
      <c r="F24" s="555"/>
      <c r="G24" s="555"/>
      <c r="H24" s="555">
        <f>315906000+180115000+34408000</f>
        <v>530429000</v>
      </c>
      <c r="I24" s="555"/>
      <c r="J24" s="555"/>
      <c r="K24" s="555"/>
      <c r="L24" s="555"/>
      <c r="M24" s="555">
        <f t="shared" si="4"/>
        <v>530429000</v>
      </c>
      <c r="N24" s="555"/>
      <c r="O24" s="555">
        <f t="shared" si="1"/>
        <v>530429000</v>
      </c>
      <c r="P24" s="563"/>
      <c r="Q24" s="558"/>
      <c r="R24" s="558"/>
      <c r="S24" s="558">
        <v>1956000</v>
      </c>
      <c r="T24" s="558"/>
      <c r="U24" s="558">
        <f t="shared" si="3"/>
        <v>1956000</v>
      </c>
      <c r="V24" s="558"/>
      <c r="W24" s="558">
        <f t="shared" si="2"/>
        <v>532385000</v>
      </c>
      <c r="X24" s="558">
        <f>207012000+53368900+16225000</f>
        <v>276605900</v>
      </c>
      <c r="Y24" s="558"/>
      <c r="Z24" s="558">
        <f t="shared" si="5"/>
        <v>255779100</v>
      </c>
      <c r="AA24" s="558">
        <v>249331132</v>
      </c>
      <c r="AB24" s="558">
        <f t="shared" si="6"/>
        <v>6447968</v>
      </c>
      <c r="AC24" s="559"/>
      <c r="AD24" s="560"/>
    </row>
    <row r="25" spans="1:30" s="566" customFormat="1" ht="24.75" customHeight="1">
      <c r="A25" s="562" t="s">
        <v>691</v>
      </c>
      <c r="B25" s="552"/>
      <c r="C25" s="552"/>
      <c r="D25" s="553"/>
      <c r="E25" s="567" t="s">
        <v>646</v>
      </c>
      <c r="F25" s="555"/>
      <c r="G25" s="555"/>
      <c r="H25" s="555">
        <v>16739000</v>
      </c>
      <c r="I25" s="555"/>
      <c r="J25" s="555"/>
      <c r="K25" s="555"/>
      <c r="L25" s="555"/>
      <c r="M25" s="555">
        <f t="shared" si="4"/>
        <v>16739000</v>
      </c>
      <c r="N25" s="555"/>
      <c r="O25" s="555">
        <f t="shared" si="1"/>
        <v>16739000</v>
      </c>
      <c r="P25" s="563"/>
      <c r="Q25" s="558"/>
      <c r="R25" s="558"/>
      <c r="S25" s="558"/>
      <c r="T25" s="558"/>
      <c r="U25" s="558"/>
      <c r="V25" s="558"/>
      <c r="W25" s="558">
        <f t="shared" si="2"/>
        <v>16739000</v>
      </c>
      <c r="X25" s="558">
        <v>6759000</v>
      </c>
      <c r="Y25" s="558"/>
      <c r="Z25" s="558">
        <f t="shared" si="5"/>
        <v>9980000</v>
      </c>
      <c r="AA25" s="558"/>
      <c r="AB25" s="558">
        <f t="shared" si="6"/>
        <v>9980000</v>
      </c>
      <c r="AC25" s="559"/>
      <c r="AD25" s="560"/>
    </row>
    <row r="26" spans="1:30" s="566" customFormat="1" ht="24.75" customHeight="1">
      <c r="A26" s="562" t="s">
        <v>692</v>
      </c>
      <c r="B26" s="552"/>
      <c r="C26" s="552"/>
      <c r="D26" s="553"/>
      <c r="E26" s="567" t="s">
        <v>647</v>
      </c>
      <c r="F26" s="555"/>
      <c r="G26" s="555"/>
      <c r="H26" s="555">
        <v>85000</v>
      </c>
      <c r="I26" s="555"/>
      <c r="J26" s="555"/>
      <c r="K26" s="555"/>
      <c r="L26" s="555"/>
      <c r="M26" s="555">
        <f t="shared" si="4"/>
        <v>85000</v>
      </c>
      <c r="N26" s="555"/>
      <c r="O26" s="555">
        <f t="shared" si="1"/>
        <v>85000</v>
      </c>
      <c r="P26" s="563"/>
      <c r="Q26" s="558"/>
      <c r="R26" s="558"/>
      <c r="S26" s="558"/>
      <c r="T26" s="558"/>
      <c r="U26" s="558"/>
      <c r="V26" s="558"/>
      <c r="W26" s="558">
        <f t="shared" si="2"/>
        <v>85000</v>
      </c>
      <c r="X26" s="558"/>
      <c r="Y26" s="558"/>
      <c r="Z26" s="558">
        <f t="shared" si="5"/>
        <v>85000</v>
      </c>
      <c r="AA26" s="558">
        <v>39330</v>
      </c>
      <c r="AB26" s="558">
        <f t="shared" si="6"/>
        <v>45670</v>
      </c>
      <c r="AC26" s="559"/>
      <c r="AD26" s="560"/>
    </row>
    <row r="27" spans="1:30" s="566" customFormat="1" ht="24.75" customHeight="1">
      <c r="A27" s="540">
        <v>4</v>
      </c>
      <c r="B27" s="541" t="s">
        <v>556</v>
      </c>
      <c r="C27" s="541"/>
      <c r="D27" s="542"/>
      <c r="E27" s="543" t="s">
        <v>79</v>
      </c>
      <c r="F27" s="544">
        <v>12744000</v>
      </c>
      <c r="G27" s="544">
        <v>1850000</v>
      </c>
      <c r="H27" s="544">
        <v>1865000</v>
      </c>
      <c r="I27" s="544"/>
      <c r="J27" s="544"/>
      <c r="K27" s="544"/>
      <c r="L27" s="544"/>
      <c r="M27" s="544">
        <f>SUM(F27:L27)</f>
        <v>16459000</v>
      </c>
      <c r="N27" s="544"/>
      <c r="O27" s="544">
        <f t="shared" si="1"/>
        <v>16459000</v>
      </c>
      <c r="P27" s="569"/>
      <c r="Q27" s="570"/>
      <c r="R27" s="570"/>
      <c r="S27" s="546">
        <v>374000</v>
      </c>
      <c r="T27" s="570"/>
      <c r="U27" s="546">
        <f>SUM(P27:T27)</f>
        <v>374000</v>
      </c>
      <c r="V27" s="546"/>
      <c r="W27" s="546">
        <f>+V27+U27+O27</f>
        <v>16833000</v>
      </c>
      <c r="X27" s="546">
        <v>4000000</v>
      </c>
      <c r="Y27" s="546"/>
      <c r="Z27" s="546">
        <f>W27-X27</f>
        <v>12833000</v>
      </c>
      <c r="AA27" s="571">
        <v>0</v>
      </c>
      <c r="AB27" s="546">
        <f>Z27-AA27</f>
        <v>12833000</v>
      </c>
      <c r="AC27" s="548">
        <v>2</v>
      </c>
      <c r="AD27" s="549"/>
    </row>
    <row r="28" spans="1:30" s="566" customFormat="1" ht="24.75" customHeight="1" thickBot="1">
      <c r="A28" s="540">
        <v>5</v>
      </c>
      <c r="B28" s="541" t="s">
        <v>556</v>
      </c>
      <c r="C28" s="541"/>
      <c r="D28" s="542"/>
      <c r="E28" s="543" t="s">
        <v>430</v>
      </c>
      <c r="F28" s="544">
        <v>5888000</v>
      </c>
      <c r="G28" s="544">
        <v>841800</v>
      </c>
      <c r="H28" s="544">
        <v>2464000</v>
      </c>
      <c r="I28" s="544"/>
      <c r="J28" s="544"/>
      <c r="K28" s="544"/>
      <c r="L28" s="544"/>
      <c r="M28" s="544">
        <f>SUM(F28:L28)</f>
        <v>9193800</v>
      </c>
      <c r="N28" s="544"/>
      <c r="O28" s="544">
        <f t="shared" si="1"/>
        <v>9193800</v>
      </c>
      <c r="P28" s="569"/>
      <c r="Q28" s="570"/>
      <c r="R28" s="570"/>
      <c r="S28" s="546">
        <v>6140000</v>
      </c>
      <c r="T28" s="570"/>
      <c r="U28" s="546">
        <f>SUM(P28:T28)</f>
        <v>6140000</v>
      </c>
      <c r="V28" s="546"/>
      <c r="W28" s="546">
        <f>+V28+U28+O28</f>
        <v>15333800</v>
      </c>
      <c r="X28" s="546">
        <v>500000</v>
      </c>
      <c r="Y28" s="546"/>
      <c r="Z28" s="546">
        <f>W28-X28</f>
        <v>14833800</v>
      </c>
      <c r="AA28" s="571">
        <v>0</v>
      </c>
      <c r="AB28" s="546">
        <f>Z28-AA28</f>
        <v>14833800</v>
      </c>
      <c r="AC28" s="548">
        <v>1</v>
      </c>
      <c r="AD28" s="549"/>
    </row>
    <row r="29" spans="1:30" s="550" customFormat="1" ht="24.75" customHeight="1" thickBot="1" thickTop="1">
      <c r="A29" s="572"/>
      <c r="B29" s="573"/>
      <c r="C29" s="573"/>
      <c r="D29" s="574"/>
      <c r="E29" s="575" t="s">
        <v>138</v>
      </c>
      <c r="F29" s="576">
        <f>F11+F14+F17+F27+F28</f>
        <v>2226183104</v>
      </c>
      <c r="G29" s="576">
        <f aca="true" t="shared" si="7" ref="G29:AD29">G11+G14+G17+G27+G28</f>
        <v>342989626</v>
      </c>
      <c r="H29" s="576">
        <f t="shared" si="7"/>
        <v>2460050385</v>
      </c>
      <c r="I29" s="576">
        <f t="shared" si="7"/>
        <v>11000000</v>
      </c>
      <c r="J29" s="576">
        <f t="shared" si="7"/>
        <v>537993099</v>
      </c>
      <c r="K29" s="576">
        <f t="shared" si="7"/>
        <v>149678506</v>
      </c>
      <c r="L29" s="576">
        <f t="shared" si="7"/>
        <v>80000000</v>
      </c>
      <c r="M29" s="576">
        <f t="shared" si="7"/>
        <v>5807894720</v>
      </c>
      <c r="N29" s="576">
        <f t="shared" si="7"/>
        <v>53000000</v>
      </c>
      <c r="O29" s="576">
        <f t="shared" si="7"/>
        <v>5860894720</v>
      </c>
      <c r="P29" s="576">
        <f t="shared" si="7"/>
        <v>6600000</v>
      </c>
      <c r="Q29" s="576">
        <f t="shared" si="7"/>
        <v>443945000</v>
      </c>
      <c r="R29" s="576">
        <f t="shared" si="7"/>
        <v>250183794</v>
      </c>
      <c r="S29" s="576">
        <f t="shared" si="7"/>
        <v>2118383102</v>
      </c>
      <c r="T29" s="576">
        <f t="shared" si="7"/>
        <v>499500000</v>
      </c>
      <c r="U29" s="576">
        <f t="shared" si="7"/>
        <v>3318611896</v>
      </c>
      <c r="V29" s="576">
        <f t="shared" si="7"/>
        <v>94593384</v>
      </c>
      <c r="W29" s="576">
        <f>W11+W14+W17+W27+W28</f>
        <v>9274100000</v>
      </c>
      <c r="X29" s="576">
        <f t="shared" si="7"/>
        <v>5934820000</v>
      </c>
      <c r="Y29" s="576">
        <f t="shared" si="7"/>
        <v>3339280000</v>
      </c>
      <c r="Z29" s="576">
        <f t="shared" si="7"/>
        <v>2972222398</v>
      </c>
      <c r="AA29" s="576">
        <f t="shared" si="7"/>
        <v>2584748570</v>
      </c>
      <c r="AB29" s="576">
        <f t="shared" si="7"/>
        <v>723384597</v>
      </c>
      <c r="AC29" s="577">
        <f t="shared" si="7"/>
        <v>407</v>
      </c>
      <c r="AD29" s="733">
        <f t="shared" si="7"/>
        <v>6</v>
      </c>
    </row>
    <row r="30" spans="6:25" ht="24.75" customHeight="1" thickTop="1"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6:31" ht="24.75" customHeight="1"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6:29" ht="24.75" customHeight="1"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6:29" ht="24.75" customHeight="1"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</row>
    <row r="34" ht="24.75" customHeight="1"/>
    <row r="35" ht="24.75" customHeight="1">
      <c r="W35" s="33"/>
    </row>
    <row r="36" ht="24.75" customHeight="1"/>
    <row r="37" ht="24.75" customHeight="1"/>
    <row r="38" ht="24.75" customHeight="1"/>
    <row r="39" ht="24.75" customHeight="1"/>
    <row r="40" ht="24.7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6">
    <mergeCell ref="AA7:AB7"/>
    <mergeCell ref="B8:D8"/>
    <mergeCell ref="A4:AC4"/>
    <mergeCell ref="A1:E1"/>
    <mergeCell ref="B7:D7"/>
    <mergeCell ref="A3:AD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104"/>
  <sheetViews>
    <sheetView tabSelected="1" workbookViewId="0" topLeftCell="A1">
      <pane ySplit="7" topLeftCell="A32" activePane="bottomLeft" state="frozen"/>
      <selection pane="topLeft" activeCell="A1" sqref="A1"/>
      <selection pane="bottomLeft" activeCell="B58" sqref="B58"/>
    </sheetView>
  </sheetViews>
  <sheetFormatPr defaultColWidth="9.00390625" defaultRowHeight="12.75"/>
  <cols>
    <col min="1" max="1" width="9.625" style="18" customWidth="1"/>
    <col min="2" max="2" width="55.25390625" style="18" customWidth="1"/>
    <col min="3" max="3" width="14.00390625" style="18" customWidth="1"/>
    <col min="4" max="4" width="12.25390625" style="18" customWidth="1"/>
    <col min="5" max="5" width="12.375" style="18" customWidth="1"/>
    <col min="6" max="7" width="11.125" style="18" customWidth="1"/>
    <col min="8" max="8" width="11.875" style="18" customWidth="1"/>
    <col min="9" max="9" width="12.00390625" style="18" customWidth="1"/>
    <col min="10" max="10" width="13.125" style="18" customWidth="1"/>
    <col min="11" max="11" width="13.625" style="18" customWidth="1"/>
    <col min="12" max="12" width="15.125" style="18" bestFit="1" customWidth="1"/>
    <col min="13" max="13" width="18.75390625" style="18" bestFit="1" customWidth="1"/>
    <col min="14" max="14" width="12.25390625" style="18" bestFit="1" customWidth="1"/>
    <col min="15" max="16384" width="9.125" style="18" customWidth="1"/>
  </cols>
  <sheetData>
    <row r="1" ht="12.75">
      <c r="K1" s="667" t="s">
        <v>582</v>
      </c>
    </row>
    <row r="2" spans="1:11" ht="14.25">
      <c r="A2" s="782" t="s">
        <v>0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</row>
    <row r="3" spans="1:11" ht="14.25">
      <c r="A3" s="782" t="s">
        <v>681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11" ht="14.25" customHeight="1">
      <c r="A4" s="783" t="s">
        <v>376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</row>
    <row r="5" spans="1:11" ht="14.25" customHeight="1" thickBot="1">
      <c r="A5" s="634"/>
      <c r="B5" s="634"/>
      <c r="C5" s="634"/>
      <c r="D5" s="634"/>
      <c r="E5" s="634"/>
      <c r="F5" s="634"/>
      <c r="G5" s="634"/>
      <c r="H5" s="634"/>
      <c r="I5" s="634"/>
      <c r="J5" s="634"/>
      <c r="K5" s="634"/>
    </row>
    <row r="6" spans="1:11" s="133" customFormat="1" ht="78" customHeight="1" thickBot="1" thickTop="1">
      <c r="A6" s="316" t="s">
        <v>171</v>
      </c>
      <c r="B6" s="317" t="s">
        <v>11</v>
      </c>
      <c r="C6" s="317" t="s">
        <v>363</v>
      </c>
      <c r="D6" s="317" t="s">
        <v>364</v>
      </c>
      <c r="E6" s="317" t="s">
        <v>226</v>
      </c>
      <c r="F6" s="317" t="s">
        <v>573</v>
      </c>
      <c r="G6" s="317" t="s">
        <v>445</v>
      </c>
      <c r="H6" s="317" t="s">
        <v>365</v>
      </c>
      <c r="I6" s="317" t="s">
        <v>366</v>
      </c>
      <c r="J6" s="317" t="s">
        <v>654</v>
      </c>
      <c r="K6" s="630" t="s">
        <v>693</v>
      </c>
    </row>
    <row r="7" spans="1:11" ht="19.5" customHeight="1" thickTop="1">
      <c r="A7" s="615"/>
      <c r="B7" s="616" t="s">
        <v>75</v>
      </c>
      <c r="C7" s="617"/>
      <c r="D7" s="617"/>
      <c r="E7" s="617"/>
      <c r="F7" s="617"/>
      <c r="G7" s="617"/>
      <c r="H7" s="617"/>
      <c r="I7" s="617"/>
      <c r="J7" s="617"/>
      <c r="K7" s="618"/>
    </row>
    <row r="8" spans="1:11" ht="19.5" customHeight="1">
      <c r="A8" s="619" t="s">
        <v>300</v>
      </c>
      <c r="B8" s="127" t="s">
        <v>174</v>
      </c>
      <c r="C8" s="132">
        <v>172913101</v>
      </c>
      <c r="D8" s="132">
        <v>22763778.630000003</v>
      </c>
      <c r="E8" s="132">
        <f>68654414-1938+53168</f>
        <v>68705644</v>
      </c>
      <c r="F8" s="132"/>
      <c r="G8" s="132"/>
      <c r="H8" s="132"/>
      <c r="I8" s="132"/>
      <c r="J8" s="132"/>
      <c r="K8" s="620">
        <f aca="true" t="shared" si="0" ref="K8:K44">SUM(C8:J8)</f>
        <v>264382523.63</v>
      </c>
    </row>
    <row r="9" spans="1:11" ht="19.5" customHeight="1">
      <c r="A9" s="619" t="s">
        <v>301</v>
      </c>
      <c r="B9" s="127" t="s">
        <v>175</v>
      </c>
      <c r="C9" s="132"/>
      <c r="D9" s="132"/>
      <c r="E9" s="132">
        <v>19521000</v>
      </c>
      <c r="F9" s="132"/>
      <c r="G9" s="132"/>
      <c r="H9" s="132"/>
      <c r="I9" s="132"/>
      <c r="J9" s="132"/>
      <c r="K9" s="620">
        <f t="shared" si="0"/>
        <v>19521000</v>
      </c>
    </row>
    <row r="10" spans="1:11" ht="19.5" customHeight="1">
      <c r="A10" s="619" t="s">
        <v>16</v>
      </c>
      <c r="B10" s="127" t="s">
        <v>176</v>
      </c>
      <c r="C10" s="132"/>
      <c r="D10" s="132"/>
      <c r="E10" s="132">
        <v>37675775</v>
      </c>
      <c r="F10" s="132"/>
      <c r="G10" s="132"/>
      <c r="H10" s="132"/>
      <c r="I10" s="132">
        <v>3601512</v>
      </c>
      <c r="J10" s="132"/>
      <c r="K10" s="620">
        <f t="shared" si="0"/>
        <v>41277287</v>
      </c>
    </row>
    <row r="11" spans="1:11" ht="19.5" customHeight="1">
      <c r="A11" s="619" t="s">
        <v>302</v>
      </c>
      <c r="B11" s="127" t="s">
        <v>177</v>
      </c>
      <c r="C11" s="132">
        <f>11800000+1574803</f>
        <v>13374803</v>
      </c>
      <c r="D11" s="132">
        <f>1534000+83922</f>
        <v>1617922</v>
      </c>
      <c r="E11" s="132">
        <v>72895197</v>
      </c>
      <c r="F11" s="132"/>
      <c r="G11" s="132"/>
      <c r="H11" s="132"/>
      <c r="I11" s="132"/>
      <c r="J11" s="132"/>
      <c r="K11" s="620">
        <f t="shared" si="0"/>
        <v>87887922</v>
      </c>
    </row>
    <row r="12" spans="1:11" ht="19.5" customHeight="1">
      <c r="A12" s="619" t="s">
        <v>655</v>
      </c>
      <c r="B12" s="127" t="s">
        <v>656</v>
      </c>
      <c r="C12" s="132"/>
      <c r="D12" s="132"/>
      <c r="E12" s="132">
        <v>100000</v>
      </c>
      <c r="F12" s="132"/>
      <c r="G12" s="132"/>
      <c r="H12" s="132"/>
      <c r="I12" s="132"/>
      <c r="J12" s="132"/>
      <c r="K12" s="620">
        <f t="shared" si="0"/>
        <v>100000</v>
      </c>
    </row>
    <row r="13" spans="1:11" ht="19.5" customHeight="1">
      <c r="A13" s="619" t="s">
        <v>446</v>
      </c>
      <c r="B13" s="127" t="s">
        <v>447</v>
      </c>
      <c r="C13" s="132"/>
      <c r="D13" s="132"/>
      <c r="E13" s="132"/>
      <c r="F13" s="132"/>
      <c r="G13" s="132">
        <v>537993099</v>
      </c>
      <c r="H13" s="132"/>
      <c r="I13" s="132"/>
      <c r="J13" s="132"/>
      <c r="K13" s="620">
        <f t="shared" si="0"/>
        <v>537993099</v>
      </c>
    </row>
    <row r="14" spans="1:11" ht="19.5" customHeight="1">
      <c r="A14" s="619" t="s">
        <v>814</v>
      </c>
      <c r="B14" s="127" t="s">
        <v>815</v>
      </c>
      <c r="C14" s="132"/>
      <c r="D14" s="132"/>
      <c r="E14" s="132"/>
      <c r="F14" s="132"/>
      <c r="G14" s="132"/>
      <c r="H14" s="132">
        <v>38376994</v>
      </c>
      <c r="I14" s="132"/>
      <c r="J14" s="132"/>
      <c r="K14" s="620">
        <f t="shared" si="0"/>
        <v>38376994</v>
      </c>
    </row>
    <row r="15" spans="1:11" ht="19.5" customHeight="1">
      <c r="A15" s="619" t="s">
        <v>303</v>
      </c>
      <c r="B15" s="127" t="s">
        <v>197</v>
      </c>
      <c r="C15" s="132"/>
      <c r="D15" s="132"/>
      <c r="E15" s="132">
        <v>4705600</v>
      </c>
      <c r="F15" s="132"/>
      <c r="G15" s="132"/>
      <c r="H15" s="132">
        <v>600000</v>
      </c>
      <c r="I15" s="132">
        <v>2500000</v>
      </c>
      <c r="J15" s="132"/>
      <c r="K15" s="620">
        <f t="shared" si="0"/>
        <v>7805600</v>
      </c>
    </row>
    <row r="16" spans="1:11" ht="19.5" customHeight="1">
      <c r="A16" s="619" t="s">
        <v>304</v>
      </c>
      <c r="B16" s="127" t="s">
        <v>305</v>
      </c>
      <c r="C16" s="132">
        <v>1530000</v>
      </c>
      <c r="D16" s="132">
        <v>211650</v>
      </c>
      <c r="E16" s="132"/>
      <c r="F16" s="132"/>
      <c r="G16" s="132"/>
      <c r="H16" s="132"/>
      <c r="I16" s="132"/>
      <c r="J16" s="132"/>
      <c r="K16" s="620">
        <f t="shared" si="0"/>
        <v>1741650</v>
      </c>
    </row>
    <row r="17" spans="1:11" ht="19.5" customHeight="1">
      <c r="A17" s="619" t="s">
        <v>638</v>
      </c>
      <c r="B17" s="127" t="s">
        <v>639</v>
      </c>
      <c r="C17" s="132"/>
      <c r="D17" s="132"/>
      <c r="E17" s="132">
        <v>2700000</v>
      </c>
      <c r="F17" s="132"/>
      <c r="G17" s="132"/>
      <c r="H17" s="132"/>
      <c r="I17" s="132"/>
      <c r="J17" s="132"/>
      <c r="K17" s="620">
        <f t="shared" si="0"/>
        <v>2700000</v>
      </c>
    </row>
    <row r="18" spans="1:11" ht="19.5" customHeight="1">
      <c r="A18" s="619" t="s">
        <v>17</v>
      </c>
      <c r="B18" s="127" t="s">
        <v>306</v>
      </c>
      <c r="C18" s="132"/>
      <c r="D18" s="132"/>
      <c r="E18" s="132">
        <v>21590000</v>
      </c>
      <c r="F18" s="132"/>
      <c r="G18" s="132"/>
      <c r="H18" s="132"/>
      <c r="I18" s="132"/>
      <c r="J18" s="132"/>
      <c r="K18" s="620">
        <f t="shared" si="0"/>
        <v>21590000</v>
      </c>
    </row>
    <row r="19" spans="1:11" ht="19.5" customHeight="1">
      <c r="A19" s="619" t="s">
        <v>18</v>
      </c>
      <c r="B19" s="127" t="s">
        <v>178</v>
      </c>
      <c r="C19" s="132">
        <v>2194000</v>
      </c>
      <c r="D19" s="132">
        <v>256698</v>
      </c>
      <c r="E19" s="132">
        <f>140000000+25853697</f>
        <v>165853697</v>
      </c>
      <c r="F19" s="132"/>
      <c r="G19" s="132"/>
      <c r="H19" s="132"/>
      <c r="I19" s="132"/>
      <c r="J19" s="132"/>
      <c r="K19" s="620">
        <f t="shared" si="0"/>
        <v>168304395</v>
      </c>
    </row>
    <row r="20" spans="1:11" ht="19.5" customHeight="1">
      <c r="A20" s="619" t="s">
        <v>307</v>
      </c>
      <c r="B20" s="127" t="s">
        <v>179</v>
      </c>
      <c r="C20" s="132"/>
      <c r="D20" s="132"/>
      <c r="E20" s="132">
        <f>77660500+12000000+19050000</f>
        <v>108710500</v>
      </c>
      <c r="F20" s="132"/>
      <c r="G20" s="132"/>
      <c r="H20" s="132"/>
      <c r="I20" s="132"/>
      <c r="J20" s="132"/>
      <c r="K20" s="620">
        <f t="shared" si="0"/>
        <v>108710500</v>
      </c>
    </row>
    <row r="21" spans="1:11" ht="19.5" customHeight="1">
      <c r="A21" s="619" t="s">
        <v>19</v>
      </c>
      <c r="B21" s="127" t="s">
        <v>180</v>
      </c>
      <c r="C21" s="132"/>
      <c r="D21" s="132"/>
      <c r="E21" s="132">
        <v>10000000</v>
      </c>
      <c r="F21" s="132"/>
      <c r="G21" s="132"/>
      <c r="H21" s="132"/>
      <c r="I21" s="132"/>
      <c r="J21" s="132"/>
      <c r="K21" s="620">
        <f t="shared" si="0"/>
        <v>10000000</v>
      </c>
    </row>
    <row r="22" spans="1:11" ht="19.5" customHeight="1">
      <c r="A22" s="619" t="s">
        <v>286</v>
      </c>
      <c r="B22" s="127" t="s">
        <v>287</v>
      </c>
      <c r="C22" s="132"/>
      <c r="D22" s="132"/>
      <c r="E22" s="132">
        <v>5000000</v>
      </c>
      <c r="F22" s="132"/>
      <c r="G22" s="132"/>
      <c r="H22" s="132"/>
      <c r="I22" s="132"/>
      <c r="J22" s="132"/>
      <c r="K22" s="620">
        <f t="shared" si="0"/>
        <v>5000000</v>
      </c>
    </row>
    <row r="23" spans="1:11" ht="19.5" customHeight="1">
      <c r="A23" s="619" t="s">
        <v>308</v>
      </c>
      <c r="B23" s="127" t="s">
        <v>309</v>
      </c>
      <c r="C23" s="132"/>
      <c r="D23" s="132"/>
      <c r="E23" s="132">
        <v>2540000</v>
      </c>
      <c r="F23" s="132"/>
      <c r="G23" s="132"/>
      <c r="H23" s="132"/>
      <c r="I23" s="132"/>
      <c r="J23" s="132"/>
      <c r="K23" s="620">
        <f t="shared" si="0"/>
        <v>2540000</v>
      </c>
    </row>
    <row r="24" spans="1:11" ht="19.5" customHeight="1">
      <c r="A24" s="619" t="s">
        <v>310</v>
      </c>
      <c r="B24" s="127" t="s">
        <v>311</v>
      </c>
      <c r="C24" s="132"/>
      <c r="D24" s="132"/>
      <c r="E24" s="132">
        <v>45000000</v>
      </c>
      <c r="F24" s="132"/>
      <c r="G24" s="132"/>
      <c r="H24" s="132"/>
      <c r="I24" s="132"/>
      <c r="J24" s="132"/>
      <c r="K24" s="620">
        <f t="shared" si="0"/>
        <v>45000000</v>
      </c>
    </row>
    <row r="25" spans="1:11" ht="19.5" customHeight="1">
      <c r="A25" s="619" t="s">
        <v>312</v>
      </c>
      <c r="B25" s="127" t="s">
        <v>181</v>
      </c>
      <c r="C25" s="132"/>
      <c r="D25" s="132"/>
      <c r="E25" s="132">
        <f>38000000+6000000</f>
        <v>44000000</v>
      </c>
      <c r="F25" s="132"/>
      <c r="G25" s="132"/>
      <c r="H25" s="132"/>
      <c r="I25" s="132"/>
      <c r="J25" s="132"/>
      <c r="K25" s="620">
        <f t="shared" si="0"/>
        <v>44000000</v>
      </c>
    </row>
    <row r="26" spans="1:11" ht="19.5" customHeight="1">
      <c r="A26" s="619" t="s">
        <v>313</v>
      </c>
      <c r="B26" s="127" t="s">
        <v>182</v>
      </c>
      <c r="C26" s="132"/>
      <c r="D26" s="132"/>
      <c r="E26" s="132">
        <v>18000000</v>
      </c>
      <c r="F26" s="132"/>
      <c r="G26" s="132"/>
      <c r="H26" s="132"/>
      <c r="I26" s="132"/>
      <c r="J26" s="132"/>
      <c r="K26" s="620">
        <f t="shared" si="0"/>
        <v>18000000</v>
      </c>
    </row>
    <row r="27" spans="1:11" ht="19.5" customHeight="1">
      <c r="A27" s="619" t="s">
        <v>314</v>
      </c>
      <c r="B27" s="127" t="s">
        <v>183</v>
      </c>
      <c r="C27" s="132"/>
      <c r="D27" s="132"/>
      <c r="E27" s="132">
        <v>120000000</v>
      </c>
      <c r="F27" s="132"/>
      <c r="G27" s="132"/>
      <c r="H27" s="132"/>
      <c r="I27" s="132"/>
      <c r="J27" s="132"/>
      <c r="K27" s="620">
        <f t="shared" si="0"/>
        <v>120000000</v>
      </c>
    </row>
    <row r="28" spans="1:11" ht="19.5" customHeight="1">
      <c r="A28" s="619" t="s">
        <v>315</v>
      </c>
      <c r="B28" s="127" t="s">
        <v>184</v>
      </c>
      <c r="C28" s="132"/>
      <c r="D28" s="132"/>
      <c r="E28" s="132">
        <v>320000000</v>
      </c>
      <c r="F28" s="132"/>
      <c r="G28" s="132"/>
      <c r="H28" s="132"/>
      <c r="I28" s="132"/>
      <c r="J28" s="132"/>
      <c r="K28" s="620">
        <f t="shared" si="0"/>
        <v>320000000</v>
      </c>
    </row>
    <row r="29" spans="1:11" ht="19.5" customHeight="1">
      <c r="A29" s="619" t="s">
        <v>316</v>
      </c>
      <c r="B29" s="127" t="s">
        <v>185</v>
      </c>
      <c r="C29" s="132">
        <v>4582500</v>
      </c>
      <c r="D29" s="132">
        <f>650225+43400</f>
        <v>693625</v>
      </c>
      <c r="E29" s="132">
        <v>31014000</v>
      </c>
      <c r="F29" s="132"/>
      <c r="G29" s="132"/>
      <c r="H29" s="132"/>
      <c r="I29" s="132"/>
      <c r="J29" s="132"/>
      <c r="K29" s="620">
        <f t="shared" si="0"/>
        <v>36290125</v>
      </c>
    </row>
    <row r="30" spans="1:14" ht="19.5" customHeight="1">
      <c r="A30" s="619" t="s">
        <v>317</v>
      </c>
      <c r="B30" s="127" t="s">
        <v>20</v>
      </c>
      <c r="C30" s="132"/>
      <c r="D30" s="132"/>
      <c r="E30" s="132">
        <v>1210000</v>
      </c>
      <c r="F30" s="132"/>
      <c r="G30" s="132"/>
      <c r="H30" s="132"/>
      <c r="I30" s="132"/>
      <c r="J30" s="132"/>
      <c r="K30" s="620">
        <f t="shared" si="0"/>
        <v>1210000</v>
      </c>
      <c r="N30" s="21"/>
    </row>
    <row r="31" spans="1:12" ht="19.5" customHeight="1">
      <c r="A31" s="619" t="s">
        <v>318</v>
      </c>
      <c r="B31" s="127" t="s">
        <v>186</v>
      </c>
      <c r="C31" s="132"/>
      <c r="D31" s="132"/>
      <c r="E31" s="132">
        <v>20000</v>
      </c>
      <c r="F31" s="132"/>
      <c r="G31" s="132"/>
      <c r="H31" s="132"/>
      <c r="I31" s="132"/>
      <c r="J31" s="132"/>
      <c r="K31" s="620">
        <f t="shared" si="0"/>
        <v>20000</v>
      </c>
      <c r="L31" s="21"/>
    </row>
    <row r="32" spans="1:11" ht="19.5" customHeight="1">
      <c r="A32" s="619" t="s">
        <v>279</v>
      </c>
      <c r="B32" s="127" t="s">
        <v>187</v>
      </c>
      <c r="C32" s="132"/>
      <c r="D32" s="132"/>
      <c r="E32" s="132">
        <v>3800000</v>
      </c>
      <c r="F32" s="132"/>
      <c r="G32" s="132"/>
      <c r="H32" s="132"/>
      <c r="I32" s="132"/>
      <c r="J32" s="132"/>
      <c r="K32" s="620">
        <f t="shared" si="0"/>
        <v>3800000</v>
      </c>
    </row>
    <row r="33" spans="1:11" ht="19.5" customHeight="1">
      <c r="A33" s="619" t="s">
        <v>319</v>
      </c>
      <c r="B33" s="127" t="s">
        <v>188</v>
      </c>
      <c r="C33" s="132"/>
      <c r="D33" s="132"/>
      <c r="E33" s="132">
        <v>1075000</v>
      </c>
      <c r="F33" s="132"/>
      <c r="G33" s="132"/>
      <c r="H33" s="132"/>
      <c r="I33" s="132"/>
      <c r="J33" s="132"/>
      <c r="K33" s="620">
        <f t="shared" si="0"/>
        <v>1075000</v>
      </c>
    </row>
    <row r="34" spans="1:11" ht="19.5" customHeight="1">
      <c r="A34" s="619" t="s">
        <v>659</v>
      </c>
      <c r="B34" s="127" t="s">
        <v>660</v>
      </c>
      <c r="C34" s="132"/>
      <c r="D34" s="132"/>
      <c r="E34" s="132">
        <v>300000</v>
      </c>
      <c r="F34" s="132"/>
      <c r="G34" s="132"/>
      <c r="H34" s="132"/>
      <c r="I34" s="132"/>
      <c r="J34" s="132"/>
      <c r="K34" s="620">
        <f t="shared" si="0"/>
        <v>300000</v>
      </c>
    </row>
    <row r="35" spans="1:11" ht="19.5" customHeight="1">
      <c r="A35" s="619" t="s">
        <v>634</v>
      </c>
      <c r="B35" s="127" t="s">
        <v>635</v>
      </c>
      <c r="C35" s="132"/>
      <c r="D35" s="132"/>
      <c r="E35" s="132">
        <v>996000</v>
      </c>
      <c r="F35" s="132"/>
      <c r="G35" s="132"/>
      <c r="H35" s="132"/>
      <c r="I35" s="132"/>
      <c r="J35" s="132"/>
      <c r="K35" s="620">
        <f t="shared" si="0"/>
        <v>996000</v>
      </c>
    </row>
    <row r="36" spans="1:11" ht="19.5" customHeight="1">
      <c r="A36" s="619" t="s">
        <v>451</v>
      </c>
      <c r="B36" s="127" t="s">
        <v>452</v>
      </c>
      <c r="C36" s="132"/>
      <c r="D36" s="132"/>
      <c r="E36" s="132">
        <v>1000000</v>
      </c>
      <c r="F36" s="132"/>
      <c r="G36" s="132"/>
      <c r="H36" s="132"/>
      <c r="I36" s="132"/>
      <c r="J36" s="132"/>
      <c r="K36" s="620">
        <f t="shared" si="0"/>
        <v>1000000</v>
      </c>
    </row>
    <row r="37" spans="1:13" ht="19.5" customHeight="1">
      <c r="A37" s="619" t="s">
        <v>321</v>
      </c>
      <c r="B37" s="127" t="s">
        <v>190</v>
      </c>
      <c r="C37" s="132"/>
      <c r="D37" s="132"/>
      <c r="E37" s="132">
        <v>10795000</v>
      </c>
      <c r="F37" s="132"/>
      <c r="G37" s="132"/>
      <c r="H37" s="132"/>
      <c r="I37" s="132"/>
      <c r="J37" s="132"/>
      <c r="K37" s="620">
        <f t="shared" si="0"/>
        <v>10795000</v>
      </c>
      <c r="M37" s="66"/>
    </row>
    <row r="38" spans="1:13" ht="19.5" customHeight="1">
      <c r="A38" s="619" t="s">
        <v>816</v>
      </c>
      <c r="B38" s="127" t="s">
        <v>817</v>
      </c>
      <c r="C38" s="132"/>
      <c r="D38" s="132"/>
      <c r="E38" s="132"/>
      <c r="F38" s="132"/>
      <c r="G38" s="132"/>
      <c r="H38" s="132"/>
      <c r="I38" s="132">
        <v>30000000</v>
      </c>
      <c r="J38" s="132"/>
      <c r="K38" s="620">
        <f t="shared" si="0"/>
        <v>30000000</v>
      </c>
      <c r="M38" s="66"/>
    </row>
    <row r="39" spans="1:13" ht="19.5" customHeight="1">
      <c r="A39" s="619" t="s">
        <v>453</v>
      </c>
      <c r="B39" s="127" t="s">
        <v>193</v>
      </c>
      <c r="C39" s="132"/>
      <c r="D39" s="132"/>
      <c r="E39" s="132">
        <v>157740</v>
      </c>
      <c r="F39" s="132"/>
      <c r="G39" s="132"/>
      <c r="H39" s="132"/>
      <c r="I39" s="132"/>
      <c r="J39" s="132"/>
      <c r="K39" s="620">
        <f t="shared" si="0"/>
        <v>157740</v>
      </c>
      <c r="M39" s="66"/>
    </row>
    <row r="40" spans="1:11" ht="19.5" customHeight="1">
      <c r="A40" s="621">
        <v>104012</v>
      </c>
      <c r="B40" s="127" t="s">
        <v>191</v>
      </c>
      <c r="C40" s="132"/>
      <c r="D40" s="132"/>
      <c r="E40" s="132"/>
      <c r="F40" s="132"/>
      <c r="G40" s="132"/>
      <c r="H40" s="132"/>
      <c r="I40" s="132">
        <v>1000000</v>
      </c>
      <c r="J40" s="132"/>
      <c r="K40" s="620">
        <f t="shared" si="0"/>
        <v>1000000</v>
      </c>
    </row>
    <row r="41" spans="1:11" ht="19.5" customHeight="1">
      <c r="A41" s="621" t="s">
        <v>450</v>
      </c>
      <c r="B41" s="127" t="s">
        <v>192</v>
      </c>
      <c r="C41" s="132"/>
      <c r="D41" s="132"/>
      <c r="E41" s="132">
        <v>155644033</v>
      </c>
      <c r="F41" s="132"/>
      <c r="G41" s="132"/>
      <c r="H41" s="132"/>
      <c r="I41" s="132"/>
      <c r="J41" s="132"/>
      <c r="K41" s="620">
        <f t="shared" si="0"/>
        <v>155644033</v>
      </c>
    </row>
    <row r="42" spans="1:13" ht="19.5" customHeight="1">
      <c r="A42" s="619">
        <v>107013</v>
      </c>
      <c r="B42" s="127" t="s">
        <v>194</v>
      </c>
      <c r="C42" s="132"/>
      <c r="D42" s="132"/>
      <c r="E42" s="132"/>
      <c r="F42" s="132"/>
      <c r="G42" s="132"/>
      <c r="H42" s="132"/>
      <c r="I42" s="132">
        <v>960000</v>
      </c>
      <c r="J42" s="132"/>
      <c r="K42" s="631">
        <f t="shared" si="0"/>
        <v>960000</v>
      </c>
      <c r="L42" s="21"/>
      <c r="M42" s="67"/>
    </row>
    <row r="43" spans="1:12" ht="19.5" customHeight="1">
      <c r="A43" s="619">
        <v>107060</v>
      </c>
      <c r="B43" s="127" t="s">
        <v>195</v>
      </c>
      <c r="C43" s="132"/>
      <c r="D43" s="132"/>
      <c r="E43" s="132">
        <v>3300000</v>
      </c>
      <c r="F43" s="132">
        <v>5000000</v>
      </c>
      <c r="G43" s="132"/>
      <c r="H43" s="132"/>
      <c r="I43" s="132"/>
      <c r="J43" s="132"/>
      <c r="K43" s="620">
        <f t="shared" si="0"/>
        <v>8300000</v>
      </c>
      <c r="L43" s="21"/>
    </row>
    <row r="44" spans="1:11" s="408" customFormat="1" ht="19.5" customHeight="1">
      <c r="A44" s="622"/>
      <c r="B44" s="406" t="s">
        <v>196</v>
      </c>
      <c r="C44" s="407">
        <f aca="true" t="shared" si="1" ref="C44:J44">SUM(C8:C43)</f>
        <v>194594404</v>
      </c>
      <c r="D44" s="407">
        <f t="shared" si="1"/>
        <v>25543673.630000003</v>
      </c>
      <c r="E44" s="407">
        <f>SUM(E8:E43)</f>
        <v>1276309186</v>
      </c>
      <c r="F44" s="407">
        <f t="shared" si="1"/>
        <v>5000000</v>
      </c>
      <c r="G44" s="407">
        <f t="shared" si="1"/>
        <v>537993099</v>
      </c>
      <c r="H44" s="407">
        <f t="shared" si="1"/>
        <v>38976994</v>
      </c>
      <c r="I44" s="407">
        <f t="shared" si="1"/>
        <v>38061512</v>
      </c>
      <c r="J44" s="468">
        <f t="shared" si="1"/>
        <v>0</v>
      </c>
      <c r="K44" s="632">
        <f t="shared" si="0"/>
        <v>2116478868.63</v>
      </c>
    </row>
    <row r="45" spans="1:11" ht="19.5" customHeight="1">
      <c r="A45" s="623"/>
      <c r="B45" s="128" t="s">
        <v>69</v>
      </c>
      <c r="C45" s="126"/>
      <c r="D45" s="126"/>
      <c r="E45" s="126"/>
      <c r="F45" s="126"/>
      <c r="G45" s="126"/>
      <c r="H45" s="126"/>
      <c r="I45" s="126"/>
      <c r="J45" s="126"/>
      <c r="K45" s="624"/>
    </row>
    <row r="46" spans="1:11" ht="19.5" customHeight="1">
      <c r="A46" s="619" t="s">
        <v>303</v>
      </c>
      <c r="B46" s="127" t="s">
        <v>197</v>
      </c>
      <c r="C46" s="132">
        <v>1600000</v>
      </c>
      <c r="D46" s="132">
        <v>187200</v>
      </c>
      <c r="E46" s="132"/>
      <c r="F46" s="126"/>
      <c r="G46" s="126"/>
      <c r="H46" s="126"/>
      <c r="I46" s="126"/>
      <c r="J46" s="126"/>
      <c r="K46" s="620">
        <f aca="true" t="shared" si="2" ref="K46:K70">SUM(C46:J46)</f>
        <v>1787200</v>
      </c>
    </row>
    <row r="47" spans="1:11" ht="19.5" customHeight="1">
      <c r="A47" s="619" t="s">
        <v>454</v>
      </c>
      <c r="B47" s="127" t="s">
        <v>455</v>
      </c>
      <c r="C47" s="126"/>
      <c r="D47" s="126"/>
      <c r="E47" s="132">
        <v>10000</v>
      </c>
      <c r="F47" s="126"/>
      <c r="G47" s="126"/>
      <c r="H47" s="126"/>
      <c r="I47" s="126"/>
      <c r="J47" s="126"/>
      <c r="K47" s="620">
        <f t="shared" si="2"/>
        <v>10000</v>
      </c>
    </row>
    <row r="48" spans="1:11" ht="19.5" customHeight="1">
      <c r="A48" s="619" t="s">
        <v>315</v>
      </c>
      <c r="B48" s="127" t="s">
        <v>184</v>
      </c>
      <c r="C48" s="132">
        <v>9000000</v>
      </c>
      <c r="D48" s="132">
        <v>1071026</v>
      </c>
      <c r="E48" s="132">
        <v>50000</v>
      </c>
      <c r="F48" s="132"/>
      <c r="G48" s="132"/>
      <c r="H48" s="132"/>
      <c r="I48" s="132"/>
      <c r="J48" s="132"/>
      <c r="K48" s="620">
        <f t="shared" si="2"/>
        <v>10121026</v>
      </c>
    </row>
    <row r="49" spans="1:11" ht="19.5" customHeight="1">
      <c r="A49" s="619" t="s">
        <v>316</v>
      </c>
      <c r="B49" s="127" t="s">
        <v>185</v>
      </c>
      <c r="C49" s="132"/>
      <c r="D49" s="132"/>
      <c r="E49" s="132">
        <v>36489800</v>
      </c>
      <c r="F49" s="132"/>
      <c r="G49" s="132"/>
      <c r="H49" s="132"/>
      <c r="I49" s="132"/>
      <c r="J49" s="132"/>
      <c r="K49" s="631">
        <f t="shared" si="2"/>
        <v>36489800</v>
      </c>
    </row>
    <row r="50" spans="1:11" ht="19.5" customHeight="1">
      <c r="A50" s="619" t="s">
        <v>657</v>
      </c>
      <c r="B50" s="127" t="s">
        <v>658</v>
      </c>
      <c r="C50" s="132"/>
      <c r="D50" s="132"/>
      <c r="E50" s="132">
        <v>20000</v>
      </c>
      <c r="F50" s="132"/>
      <c r="G50" s="132"/>
      <c r="H50" s="132"/>
      <c r="I50" s="132"/>
      <c r="J50" s="132"/>
      <c r="K50" s="631">
        <f t="shared" si="2"/>
        <v>20000</v>
      </c>
    </row>
    <row r="51" spans="1:11" ht="19.5" customHeight="1">
      <c r="A51" s="619" t="s">
        <v>21</v>
      </c>
      <c r="B51" s="127" t="s">
        <v>198</v>
      </c>
      <c r="C51" s="132"/>
      <c r="D51" s="132"/>
      <c r="E51" s="132">
        <v>1000000</v>
      </c>
      <c r="F51" s="132"/>
      <c r="G51" s="132"/>
      <c r="H51" s="132"/>
      <c r="I51" s="132">
        <v>4420000</v>
      </c>
      <c r="J51" s="132"/>
      <c r="K51" s="631">
        <f t="shared" si="2"/>
        <v>5420000</v>
      </c>
    </row>
    <row r="52" spans="1:12" ht="19.5" customHeight="1">
      <c r="A52" s="619" t="s">
        <v>322</v>
      </c>
      <c r="B52" s="129" t="s">
        <v>199</v>
      </c>
      <c r="C52" s="132"/>
      <c r="D52" s="132"/>
      <c r="E52" s="132"/>
      <c r="F52" s="132"/>
      <c r="G52" s="132"/>
      <c r="H52" s="132"/>
      <c r="I52" s="633">
        <v>400000</v>
      </c>
      <c r="J52" s="132">
        <v>80000000</v>
      </c>
      <c r="K52" s="631">
        <f t="shared" si="2"/>
        <v>80400000</v>
      </c>
      <c r="L52" s="21"/>
    </row>
    <row r="53" spans="1:11" ht="19.5" customHeight="1">
      <c r="A53" s="619" t="s">
        <v>323</v>
      </c>
      <c r="B53" s="127" t="s">
        <v>189</v>
      </c>
      <c r="C53" s="132"/>
      <c r="D53" s="132"/>
      <c r="E53" s="132"/>
      <c r="F53" s="132"/>
      <c r="G53" s="132"/>
      <c r="H53" s="132"/>
      <c r="I53" s="132">
        <v>2500000</v>
      </c>
      <c r="J53" s="132"/>
      <c r="K53" s="620">
        <f t="shared" si="2"/>
        <v>2500000</v>
      </c>
    </row>
    <row r="54" spans="1:11" ht="19.5" customHeight="1">
      <c r="A54" s="619" t="s">
        <v>324</v>
      </c>
      <c r="B54" s="127" t="s">
        <v>200</v>
      </c>
      <c r="C54" s="132"/>
      <c r="D54" s="132"/>
      <c r="E54" s="132">
        <v>950000</v>
      </c>
      <c r="F54" s="132"/>
      <c r="G54" s="132"/>
      <c r="H54" s="132"/>
      <c r="I54" s="132">
        <v>6500000</v>
      </c>
      <c r="J54" s="132"/>
      <c r="K54" s="631">
        <f t="shared" si="2"/>
        <v>7450000</v>
      </c>
    </row>
    <row r="55" spans="1:11" ht="19.5" customHeight="1">
      <c r="A55" s="619" t="s">
        <v>325</v>
      </c>
      <c r="B55" s="127" t="s">
        <v>326</v>
      </c>
      <c r="C55" s="132"/>
      <c r="D55" s="132"/>
      <c r="E55" s="132">
        <v>11720000</v>
      </c>
      <c r="F55" s="132"/>
      <c r="G55" s="132"/>
      <c r="H55" s="132"/>
      <c r="I55" s="132"/>
      <c r="J55" s="132"/>
      <c r="K55" s="631">
        <f t="shared" si="2"/>
        <v>11720000</v>
      </c>
    </row>
    <row r="56" spans="1:11" ht="19.5" customHeight="1">
      <c r="A56" s="619" t="s">
        <v>320</v>
      </c>
      <c r="B56" s="127" t="s">
        <v>201</v>
      </c>
      <c r="C56" s="132">
        <v>14410000</v>
      </c>
      <c r="D56" s="132">
        <v>4295518</v>
      </c>
      <c r="E56" s="132">
        <v>195519399</v>
      </c>
      <c r="F56" s="132"/>
      <c r="G56" s="132"/>
      <c r="H56" s="132"/>
      <c r="I56" s="132">
        <v>20350000</v>
      </c>
      <c r="J56" s="132"/>
      <c r="K56" s="631">
        <f t="shared" si="2"/>
        <v>234574917</v>
      </c>
    </row>
    <row r="57" spans="1:11" ht="19.5" customHeight="1">
      <c r="A57" s="619" t="s">
        <v>327</v>
      </c>
      <c r="B57" s="127" t="s">
        <v>202</v>
      </c>
      <c r="C57" s="132"/>
      <c r="D57" s="132"/>
      <c r="E57" s="132"/>
      <c r="F57" s="132"/>
      <c r="G57" s="132"/>
      <c r="H57" s="132"/>
      <c r="I57" s="132">
        <f>15350000+150000</f>
        <v>15500000</v>
      </c>
      <c r="J57" s="132"/>
      <c r="K57" s="631">
        <f t="shared" si="2"/>
        <v>15500000</v>
      </c>
    </row>
    <row r="58" spans="1:12" ht="19.5" customHeight="1">
      <c r="A58" s="619" t="s">
        <v>328</v>
      </c>
      <c r="B58" s="127" t="s">
        <v>203</v>
      </c>
      <c r="C58" s="132"/>
      <c r="D58" s="132"/>
      <c r="E58" s="132"/>
      <c r="F58" s="132"/>
      <c r="G58" s="132"/>
      <c r="H58" s="132"/>
      <c r="I58" s="132">
        <v>21170000</v>
      </c>
      <c r="J58" s="132"/>
      <c r="K58" s="631">
        <f t="shared" si="2"/>
        <v>21170000</v>
      </c>
      <c r="L58" s="66"/>
    </row>
    <row r="59" spans="1:11" ht="19.5" customHeight="1">
      <c r="A59" s="619" t="s">
        <v>329</v>
      </c>
      <c r="B59" s="127" t="s">
        <v>204</v>
      </c>
      <c r="C59" s="132"/>
      <c r="D59" s="132"/>
      <c r="E59" s="132"/>
      <c r="F59" s="132"/>
      <c r="G59" s="132"/>
      <c r="H59" s="132"/>
      <c r="I59" s="132">
        <v>800000</v>
      </c>
      <c r="J59" s="132"/>
      <c r="K59" s="631">
        <f t="shared" si="2"/>
        <v>800000</v>
      </c>
    </row>
    <row r="60" spans="1:11" ht="19.5" customHeight="1">
      <c r="A60" s="619" t="s">
        <v>456</v>
      </c>
      <c r="B60" s="127" t="s">
        <v>457</v>
      </c>
      <c r="C60" s="132"/>
      <c r="D60" s="132"/>
      <c r="E60" s="132">
        <v>2000000</v>
      </c>
      <c r="F60" s="132"/>
      <c r="G60" s="132"/>
      <c r="H60" s="132"/>
      <c r="I60" s="132"/>
      <c r="J60" s="132"/>
      <c r="K60" s="631">
        <f t="shared" si="2"/>
        <v>2000000</v>
      </c>
    </row>
    <row r="61" spans="1:11" ht="19.5" customHeight="1">
      <c r="A61" s="619" t="s">
        <v>330</v>
      </c>
      <c r="B61" s="127" t="s">
        <v>205</v>
      </c>
      <c r="C61" s="132">
        <v>1000000</v>
      </c>
      <c r="D61" s="132">
        <v>419608</v>
      </c>
      <c r="E61" s="132">
        <v>2370000</v>
      </c>
      <c r="F61" s="132"/>
      <c r="G61" s="132"/>
      <c r="H61" s="132"/>
      <c r="I61" s="132">
        <v>1000000</v>
      </c>
      <c r="J61" s="132"/>
      <c r="K61" s="631">
        <f t="shared" si="2"/>
        <v>4789608</v>
      </c>
    </row>
    <row r="62" spans="1:11" ht="19.5" customHeight="1">
      <c r="A62" s="619" t="s">
        <v>321</v>
      </c>
      <c r="B62" s="127" t="s">
        <v>331</v>
      </c>
      <c r="C62" s="132"/>
      <c r="D62" s="132"/>
      <c r="E62" s="132">
        <v>500000</v>
      </c>
      <c r="F62" s="132"/>
      <c r="G62" s="132"/>
      <c r="H62" s="132"/>
      <c r="I62" s="132"/>
      <c r="J62" s="132"/>
      <c r="K62" s="631">
        <f t="shared" si="2"/>
        <v>500000</v>
      </c>
    </row>
    <row r="63" spans="1:12" ht="19.5" customHeight="1">
      <c r="A63" s="619" t="s">
        <v>332</v>
      </c>
      <c r="B63" s="127" t="s">
        <v>333</v>
      </c>
      <c r="C63" s="132"/>
      <c r="D63" s="132"/>
      <c r="E63" s="132">
        <f>317500+1500000</f>
        <v>1817500</v>
      </c>
      <c r="F63" s="132"/>
      <c r="G63" s="132"/>
      <c r="H63" s="132"/>
      <c r="I63" s="132"/>
      <c r="J63" s="132"/>
      <c r="K63" s="631">
        <f t="shared" si="2"/>
        <v>1817500</v>
      </c>
      <c r="L63" s="21"/>
    </row>
    <row r="64" spans="1:11" ht="19.5" customHeight="1">
      <c r="A64" s="619" t="s">
        <v>334</v>
      </c>
      <c r="B64" s="127" t="s">
        <v>335</v>
      </c>
      <c r="C64" s="132"/>
      <c r="D64" s="132"/>
      <c r="E64" s="132">
        <v>127000</v>
      </c>
      <c r="F64" s="132"/>
      <c r="G64" s="132"/>
      <c r="H64" s="132"/>
      <c r="I64" s="132"/>
      <c r="J64" s="132"/>
      <c r="K64" s="631">
        <f t="shared" si="2"/>
        <v>127000</v>
      </c>
    </row>
    <row r="65" spans="1:11" ht="19.5" customHeight="1">
      <c r="A65" s="619" t="s">
        <v>336</v>
      </c>
      <c r="B65" s="127" t="s">
        <v>337</v>
      </c>
      <c r="C65" s="132"/>
      <c r="D65" s="132"/>
      <c r="E65" s="132">
        <v>317500</v>
      </c>
      <c r="F65" s="132"/>
      <c r="G65" s="132"/>
      <c r="H65" s="132"/>
      <c r="I65" s="132"/>
      <c r="J65" s="132"/>
      <c r="K65" s="631">
        <f t="shared" si="2"/>
        <v>317500</v>
      </c>
    </row>
    <row r="66" spans="1:11" ht="26.25" customHeight="1">
      <c r="A66" s="619" t="s">
        <v>338</v>
      </c>
      <c r="B66" s="409" t="s">
        <v>284</v>
      </c>
      <c r="C66" s="132"/>
      <c r="D66" s="132"/>
      <c r="E66" s="132">
        <v>3000000</v>
      </c>
      <c r="F66" s="132"/>
      <c r="G66" s="132"/>
      <c r="H66" s="132"/>
      <c r="I66" s="132"/>
      <c r="J66" s="132"/>
      <c r="K66" s="631">
        <f t="shared" si="2"/>
        <v>3000000</v>
      </c>
    </row>
    <row r="67" spans="1:11" ht="19.5" customHeight="1">
      <c r="A67" s="619" t="s">
        <v>339</v>
      </c>
      <c r="B67" s="127" t="s">
        <v>340</v>
      </c>
      <c r="C67" s="132"/>
      <c r="D67" s="132"/>
      <c r="E67" s="132">
        <v>127000</v>
      </c>
      <c r="F67" s="132"/>
      <c r="G67" s="132"/>
      <c r="H67" s="132"/>
      <c r="I67" s="132"/>
      <c r="J67" s="132"/>
      <c r="K67" s="631">
        <f t="shared" si="2"/>
        <v>127000</v>
      </c>
    </row>
    <row r="68" spans="1:12" ht="19.5" customHeight="1">
      <c r="A68" s="619">
        <v>107060</v>
      </c>
      <c r="B68" s="127" t="s">
        <v>195</v>
      </c>
      <c r="C68" s="132"/>
      <c r="D68" s="132"/>
      <c r="E68" s="132">
        <v>30200000</v>
      </c>
      <c r="F68" s="132">
        <v>6000000</v>
      </c>
      <c r="G68" s="132"/>
      <c r="H68" s="132"/>
      <c r="I68" s="132"/>
      <c r="J68" s="132"/>
      <c r="K68" s="631">
        <f t="shared" si="2"/>
        <v>36200000</v>
      </c>
      <c r="L68" s="19"/>
    </row>
    <row r="69" spans="1:14" s="105" customFormat="1" ht="19.5" customHeight="1" thickBot="1">
      <c r="A69" s="625"/>
      <c r="B69" s="626" t="s">
        <v>206</v>
      </c>
      <c r="C69" s="627">
        <f>SUM(C45:C68)</f>
        <v>26010000</v>
      </c>
      <c r="D69" s="627">
        <f>SUM(D45:D68)</f>
        <v>5973352</v>
      </c>
      <c r="E69" s="627">
        <f>SUM(E45:E68)</f>
        <v>286218199</v>
      </c>
      <c r="F69" s="627">
        <f>SUM(F45:F68)</f>
        <v>6000000</v>
      </c>
      <c r="G69" s="628">
        <v>0</v>
      </c>
      <c r="H69" s="628">
        <f>SUM(H45:H68)</f>
        <v>0</v>
      </c>
      <c r="I69" s="627">
        <f>SUM(I45:I68)</f>
        <v>72640000</v>
      </c>
      <c r="J69" s="627">
        <f>SUM(J45:J68)</f>
        <v>80000000</v>
      </c>
      <c r="K69" s="629">
        <f t="shared" si="2"/>
        <v>476841551</v>
      </c>
      <c r="L69" s="242"/>
      <c r="M69" s="242"/>
      <c r="N69" s="242"/>
    </row>
    <row r="70" spans="1:12" s="131" customFormat="1" ht="19.5" customHeight="1" thickBot="1" thickTop="1">
      <c r="A70" s="780" t="s">
        <v>574</v>
      </c>
      <c r="B70" s="781"/>
      <c r="C70" s="613">
        <f>SUM(C44+C69)</f>
        <v>220604404</v>
      </c>
      <c r="D70" s="613">
        <f aca="true" t="shared" si="3" ref="D70:J70">SUM(D44+D69)</f>
        <v>31517025.630000003</v>
      </c>
      <c r="E70" s="613">
        <f t="shared" si="3"/>
        <v>1562527385</v>
      </c>
      <c r="F70" s="613">
        <f t="shared" si="3"/>
        <v>11000000</v>
      </c>
      <c r="G70" s="613">
        <f t="shared" si="3"/>
        <v>537993099</v>
      </c>
      <c r="H70" s="613">
        <f t="shared" si="3"/>
        <v>38976994</v>
      </c>
      <c r="I70" s="613">
        <f t="shared" si="3"/>
        <v>110701512</v>
      </c>
      <c r="J70" s="613">
        <f t="shared" si="3"/>
        <v>80000000</v>
      </c>
      <c r="K70" s="614">
        <f t="shared" si="2"/>
        <v>2593320419.63</v>
      </c>
      <c r="L70" s="130"/>
    </row>
    <row r="71" spans="1:12" ht="19.5" customHeight="1" thickTop="1">
      <c r="A71" s="16"/>
      <c r="B71" s="20"/>
      <c r="C71" s="17"/>
      <c r="D71" s="17"/>
      <c r="E71" s="17"/>
      <c r="F71" s="20"/>
      <c r="G71" s="20"/>
      <c r="H71" s="20"/>
      <c r="I71" s="20"/>
      <c r="J71" s="20"/>
      <c r="K71" s="238"/>
      <c r="L71" s="65"/>
    </row>
    <row r="72" spans="1:12" ht="12.75">
      <c r="A72" s="16"/>
      <c r="B72" s="17"/>
      <c r="C72" s="405"/>
      <c r="D72" s="405"/>
      <c r="E72" s="405"/>
      <c r="F72" s="405"/>
      <c r="G72" s="405"/>
      <c r="H72" s="405"/>
      <c r="I72" s="405"/>
      <c r="K72" s="238"/>
      <c r="L72" s="21"/>
    </row>
    <row r="73" spans="1:11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2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2.7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2.7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2.75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2.7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2.7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2.7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2.7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2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2.7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2.75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2.75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2.75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2.7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2.75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2.75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2.75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2.7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2.7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2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2.75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2.7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2.75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2.75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2.7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2.7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2.75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2.75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ht="12.7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2.75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</sheetData>
  <sheetProtection/>
  <mergeCells count="4">
    <mergeCell ref="A70:B70"/>
    <mergeCell ref="A2:K2"/>
    <mergeCell ref="A3:K3"/>
    <mergeCell ref="A4:K4"/>
  </mergeCells>
  <printOptions horizontalCentered="1" verticalCentered="1"/>
  <pageMargins left="0" right="0" top="0.35433070866141736" bottom="0.31496062992125984" header="0.15748031496062992" footer="0.35433070866141736"/>
  <pageSetup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1"/>
  <sheetViews>
    <sheetView workbookViewId="0" topLeftCell="A82">
      <selection activeCell="D94" sqref="D94"/>
    </sheetView>
  </sheetViews>
  <sheetFormatPr defaultColWidth="9.00390625" defaultRowHeight="12.75"/>
  <cols>
    <col min="1" max="1" width="11.375" style="438" customWidth="1"/>
    <col min="2" max="2" width="106.625" style="10" bestFit="1" customWidth="1"/>
    <col min="3" max="3" width="17.25390625" style="442" customWidth="1"/>
    <col min="4" max="4" width="14.25390625" style="10" customWidth="1"/>
    <col min="5" max="5" width="11.125" style="10" customWidth="1"/>
    <col min="6" max="6" width="12.75390625" style="10" bestFit="1" customWidth="1"/>
    <col min="7" max="7" width="11.125" style="10" customWidth="1"/>
    <col min="8" max="16384" width="9.125" style="10" customWidth="1"/>
  </cols>
  <sheetData>
    <row r="1" spans="1:3" ht="15.75">
      <c r="A1" s="440" t="s">
        <v>0</v>
      </c>
      <c r="C1" s="441" t="s">
        <v>80</v>
      </c>
    </row>
    <row r="2" spans="1:3" ht="15.75">
      <c r="A2" s="440"/>
      <c r="C2" s="441"/>
    </row>
    <row r="3" spans="1:3" ht="15.75">
      <c r="A3" s="786" t="s">
        <v>678</v>
      </c>
      <c r="B3" s="786"/>
      <c r="C3" s="786"/>
    </row>
    <row r="4" ht="16.5" thickBot="1"/>
    <row r="5" spans="1:3" ht="77.25" customHeight="1" thickBot="1" thickTop="1">
      <c r="A5" s="244" t="s">
        <v>840</v>
      </c>
      <c r="B5" s="243" t="s">
        <v>95</v>
      </c>
      <c r="C5" s="158" t="s">
        <v>701</v>
      </c>
    </row>
    <row r="6" spans="1:3" ht="19.5" customHeight="1" thickTop="1">
      <c r="A6" s="450"/>
      <c r="B6" s="443" t="s">
        <v>369</v>
      </c>
      <c r="C6" s="466"/>
    </row>
    <row r="7" spans="1:3" ht="19.5" customHeight="1">
      <c r="A7" s="454"/>
      <c r="B7" s="134" t="s">
        <v>702</v>
      </c>
      <c r="C7" s="461"/>
    </row>
    <row r="8" spans="1:6" ht="19.5" customHeight="1">
      <c r="A8" s="451" t="s">
        <v>341</v>
      </c>
      <c r="B8" s="432" t="s">
        <v>96</v>
      </c>
      <c r="C8" s="462">
        <v>13131900</v>
      </c>
      <c r="F8" s="680"/>
    </row>
    <row r="9" spans="1:3" ht="19.5" customHeight="1">
      <c r="A9" s="452" t="s">
        <v>341</v>
      </c>
      <c r="B9" s="432" t="s">
        <v>262</v>
      </c>
      <c r="C9" s="462">
        <v>3601512</v>
      </c>
    </row>
    <row r="10" spans="1:3" ht="19.5" customHeight="1">
      <c r="A10" s="452" t="s">
        <v>342</v>
      </c>
      <c r="B10" s="432" t="s">
        <v>97</v>
      </c>
      <c r="C10" s="462">
        <v>1000000</v>
      </c>
    </row>
    <row r="11" spans="1:3" ht="19.5" customHeight="1">
      <c r="A11" s="453"/>
      <c r="B11" s="432"/>
      <c r="C11" s="462"/>
    </row>
    <row r="12" spans="1:3" ht="19.5" customHeight="1">
      <c r="A12" s="454"/>
      <c r="B12" s="134" t="s">
        <v>98</v>
      </c>
      <c r="C12" s="461"/>
    </row>
    <row r="13" spans="1:3" ht="19.5" customHeight="1">
      <c r="A13" s="451" t="s">
        <v>341</v>
      </c>
      <c r="B13" s="432" t="s">
        <v>99</v>
      </c>
      <c r="C13" s="462">
        <v>600000</v>
      </c>
    </row>
    <row r="14" spans="1:3" ht="19.5" customHeight="1">
      <c r="A14" s="453" t="s">
        <v>341</v>
      </c>
      <c r="B14" s="432" t="s">
        <v>100</v>
      </c>
      <c r="C14" s="462">
        <v>2500000</v>
      </c>
    </row>
    <row r="15" spans="1:3" ht="19.5" customHeight="1">
      <c r="A15" s="453"/>
      <c r="B15" s="432"/>
      <c r="C15" s="462"/>
    </row>
    <row r="16" spans="1:3" ht="19.5" customHeight="1">
      <c r="A16" s="454"/>
      <c r="B16" s="134" t="s">
        <v>101</v>
      </c>
      <c r="C16" s="461"/>
    </row>
    <row r="17" spans="1:3" ht="19.5" customHeight="1">
      <c r="A17" s="451" t="s">
        <v>341</v>
      </c>
      <c r="B17" s="432" t="s">
        <v>694</v>
      </c>
      <c r="C17" s="462">
        <v>1200000</v>
      </c>
    </row>
    <row r="18" spans="1:3" ht="19.5" customHeight="1">
      <c r="A18" s="451" t="s">
        <v>341</v>
      </c>
      <c r="B18" s="433" t="s">
        <v>114</v>
      </c>
      <c r="C18" s="463"/>
    </row>
    <row r="19" spans="1:3" ht="19.5" customHeight="1">
      <c r="A19" s="453"/>
      <c r="B19" s="436" t="s">
        <v>386</v>
      </c>
      <c r="C19" s="462">
        <v>900000</v>
      </c>
    </row>
    <row r="20" spans="1:3" ht="19.5" customHeight="1">
      <c r="A20" s="453"/>
      <c r="B20" s="436" t="s">
        <v>387</v>
      </c>
      <c r="C20" s="462">
        <v>250000</v>
      </c>
    </row>
    <row r="21" spans="1:3" ht="19.5" customHeight="1">
      <c r="A21" s="453"/>
      <c r="B21" s="436" t="s">
        <v>388</v>
      </c>
      <c r="C21" s="462">
        <v>150000</v>
      </c>
    </row>
    <row r="22" spans="1:3" ht="19.5" customHeight="1">
      <c r="A22" s="453"/>
      <c r="B22" s="436" t="s">
        <v>389</v>
      </c>
      <c r="C22" s="462">
        <v>250000</v>
      </c>
    </row>
    <row r="23" spans="1:3" ht="19.5" customHeight="1">
      <c r="A23" s="451" t="s">
        <v>342</v>
      </c>
      <c r="B23" s="432" t="s">
        <v>102</v>
      </c>
      <c r="C23" s="462">
        <v>20350000</v>
      </c>
    </row>
    <row r="24" spans="1:3" ht="19.5" customHeight="1">
      <c r="A24" s="451" t="s">
        <v>342</v>
      </c>
      <c r="B24" s="432" t="s">
        <v>103</v>
      </c>
      <c r="C24" s="462">
        <v>600000</v>
      </c>
    </row>
    <row r="25" spans="1:3" ht="19.5" customHeight="1">
      <c r="A25" s="451" t="s">
        <v>342</v>
      </c>
      <c r="B25" s="432" t="s">
        <v>259</v>
      </c>
      <c r="C25" s="462">
        <v>400000</v>
      </c>
    </row>
    <row r="26" spans="1:3" ht="19.5" customHeight="1">
      <c r="A26" s="451" t="s">
        <v>342</v>
      </c>
      <c r="B26" s="432" t="s">
        <v>104</v>
      </c>
      <c r="C26" s="462">
        <v>6500000</v>
      </c>
    </row>
    <row r="27" spans="1:3" ht="19.5" customHeight="1">
      <c r="A27" s="451" t="s">
        <v>342</v>
      </c>
      <c r="B27" s="432" t="s">
        <v>108</v>
      </c>
      <c r="C27" s="462">
        <v>50000</v>
      </c>
    </row>
    <row r="28" spans="1:3" ht="19.5" customHeight="1">
      <c r="A28" s="451" t="s">
        <v>342</v>
      </c>
      <c r="B28" s="434" t="s">
        <v>109</v>
      </c>
      <c r="C28" s="462">
        <v>100000</v>
      </c>
    </row>
    <row r="29" spans="1:3" ht="19.5" customHeight="1">
      <c r="A29" s="451" t="s">
        <v>342</v>
      </c>
      <c r="B29" s="432" t="s">
        <v>385</v>
      </c>
      <c r="C29" s="462">
        <v>1000000</v>
      </c>
    </row>
    <row r="30" spans="1:3" ht="19.5" customHeight="1">
      <c r="A30" s="451" t="s">
        <v>342</v>
      </c>
      <c r="B30" s="432" t="s">
        <v>110</v>
      </c>
      <c r="C30" s="462">
        <v>850000</v>
      </c>
    </row>
    <row r="31" spans="1:3" ht="19.5" customHeight="1">
      <c r="A31" s="451" t="s">
        <v>342</v>
      </c>
      <c r="B31" s="432" t="s">
        <v>111</v>
      </c>
      <c r="C31" s="462">
        <v>600000</v>
      </c>
    </row>
    <row r="32" spans="1:3" ht="19.5" customHeight="1">
      <c r="A32" s="451" t="s">
        <v>342</v>
      </c>
      <c r="B32" s="432" t="s">
        <v>112</v>
      </c>
      <c r="C32" s="462">
        <v>550000</v>
      </c>
    </row>
    <row r="33" spans="1:3" ht="19.5" customHeight="1">
      <c r="A33" s="451" t="s">
        <v>342</v>
      </c>
      <c r="B33" s="432" t="s">
        <v>471</v>
      </c>
      <c r="C33" s="462">
        <v>650000</v>
      </c>
    </row>
    <row r="34" spans="1:3" ht="19.5" customHeight="1">
      <c r="A34" s="451" t="s">
        <v>342</v>
      </c>
      <c r="B34" s="432" t="s">
        <v>113</v>
      </c>
      <c r="C34" s="462">
        <v>850000</v>
      </c>
    </row>
    <row r="35" spans="1:3" ht="19.5" customHeight="1">
      <c r="A35" s="451" t="s">
        <v>342</v>
      </c>
      <c r="B35" s="432" t="s">
        <v>470</v>
      </c>
      <c r="C35" s="462">
        <v>650000</v>
      </c>
    </row>
    <row r="36" spans="1:3" ht="19.5" customHeight="1">
      <c r="A36" s="451" t="s">
        <v>342</v>
      </c>
      <c r="B36" s="432" t="s">
        <v>469</v>
      </c>
      <c r="C36" s="462">
        <v>2500000</v>
      </c>
    </row>
    <row r="37" spans="1:3" ht="19.5" customHeight="1">
      <c r="A37" s="451" t="s">
        <v>342</v>
      </c>
      <c r="B37" s="432" t="s">
        <v>812</v>
      </c>
      <c r="C37" s="462">
        <v>50000</v>
      </c>
    </row>
    <row r="38" spans="1:3" ht="19.5" customHeight="1">
      <c r="A38" s="451" t="s">
        <v>342</v>
      </c>
      <c r="B38" s="432" t="s">
        <v>105</v>
      </c>
      <c r="C38" s="462">
        <v>100000</v>
      </c>
    </row>
    <row r="39" spans="1:3" ht="19.5" customHeight="1">
      <c r="A39" s="451" t="s">
        <v>342</v>
      </c>
      <c r="B39" s="432" t="s">
        <v>106</v>
      </c>
      <c r="C39" s="462">
        <v>350000</v>
      </c>
    </row>
    <row r="40" spans="1:3" ht="19.5" customHeight="1">
      <c r="A40" s="451" t="s">
        <v>342</v>
      </c>
      <c r="B40" s="432" t="s">
        <v>258</v>
      </c>
      <c r="C40" s="462">
        <v>100000</v>
      </c>
    </row>
    <row r="41" spans="1:3" ht="19.5" customHeight="1">
      <c r="A41" s="451" t="s">
        <v>342</v>
      </c>
      <c r="B41" s="432" t="s">
        <v>107</v>
      </c>
      <c r="C41" s="462">
        <v>120000</v>
      </c>
    </row>
    <row r="42" spans="1:3" ht="19.5" customHeight="1">
      <c r="A42" s="451" t="s">
        <v>342</v>
      </c>
      <c r="B42" s="432" t="s">
        <v>282</v>
      </c>
      <c r="C42" s="462">
        <v>19500000</v>
      </c>
    </row>
    <row r="43" spans="1:3" ht="19.5" customHeight="1">
      <c r="A43" s="451" t="s">
        <v>342</v>
      </c>
      <c r="B43" s="432" t="s">
        <v>280</v>
      </c>
      <c r="C43" s="462">
        <v>150000</v>
      </c>
    </row>
    <row r="44" spans="1:3" ht="19.5" customHeight="1">
      <c r="A44" s="451" t="s">
        <v>342</v>
      </c>
      <c r="B44" s="432" t="s">
        <v>809</v>
      </c>
      <c r="C44" s="462">
        <v>600000</v>
      </c>
    </row>
    <row r="45" spans="1:3" ht="19.5" customHeight="1">
      <c r="A45" s="453"/>
      <c r="B45" s="435"/>
      <c r="C45" s="462"/>
    </row>
    <row r="46" spans="1:3" ht="19.5" customHeight="1">
      <c r="A46" s="454"/>
      <c r="B46" s="134" t="s">
        <v>118</v>
      </c>
      <c r="C46" s="461"/>
    </row>
    <row r="47" spans="1:3" ht="19.5" customHeight="1">
      <c r="A47" s="451" t="s">
        <v>342</v>
      </c>
      <c r="B47" s="437" t="s">
        <v>119</v>
      </c>
      <c r="C47" s="462">
        <v>2500000</v>
      </c>
    </row>
    <row r="48" spans="1:3" ht="19.5" customHeight="1">
      <c r="A48" s="451" t="s">
        <v>342</v>
      </c>
      <c r="B48" s="437" t="s">
        <v>129</v>
      </c>
      <c r="C48" s="462">
        <v>400000</v>
      </c>
    </row>
    <row r="49" spans="1:3" ht="19.5" customHeight="1">
      <c r="A49" s="451" t="s">
        <v>342</v>
      </c>
      <c r="B49" s="437" t="s">
        <v>390</v>
      </c>
      <c r="C49" s="462">
        <v>100000</v>
      </c>
    </row>
    <row r="50" spans="1:3" ht="19.5" customHeight="1">
      <c r="A50" s="451" t="s">
        <v>342</v>
      </c>
      <c r="B50" s="437" t="s">
        <v>121</v>
      </c>
      <c r="C50" s="462">
        <v>1000000</v>
      </c>
    </row>
    <row r="51" spans="1:3" ht="19.5" customHeight="1">
      <c r="A51" s="451" t="s">
        <v>342</v>
      </c>
      <c r="B51" s="437" t="s">
        <v>391</v>
      </c>
      <c r="C51" s="462">
        <v>50000</v>
      </c>
    </row>
    <row r="52" spans="1:3" ht="19.5" customHeight="1">
      <c r="A52" s="451" t="s">
        <v>342</v>
      </c>
      <c r="B52" s="437" t="s">
        <v>392</v>
      </c>
      <c r="C52" s="462">
        <v>50000</v>
      </c>
    </row>
    <row r="53" spans="1:3" ht="19.5" customHeight="1">
      <c r="A53" s="451" t="s">
        <v>342</v>
      </c>
      <c r="B53" s="437" t="s">
        <v>122</v>
      </c>
      <c r="C53" s="462">
        <v>100000</v>
      </c>
    </row>
    <row r="54" spans="1:3" ht="19.5" customHeight="1">
      <c r="A54" s="451" t="s">
        <v>342</v>
      </c>
      <c r="B54" s="437" t="s">
        <v>123</v>
      </c>
      <c r="C54" s="462">
        <v>120000</v>
      </c>
    </row>
    <row r="55" spans="1:3" ht="19.5" customHeight="1">
      <c r="A55" s="451" t="s">
        <v>342</v>
      </c>
      <c r="B55" s="437" t="s">
        <v>124</v>
      </c>
      <c r="C55" s="462">
        <v>100000</v>
      </c>
    </row>
    <row r="56" spans="1:3" ht="19.5" customHeight="1">
      <c r="A56" s="451" t="s">
        <v>342</v>
      </c>
      <c r="B56" s="437" t="s">
        <v>125</v>
      </c>
      <c r="C56" s="462">
        <v>700000</v>
      </c>
    </row>
    <row r="57" spans="1:3" ht="19.5" customHeight="1">
      <c r="A57" s="451" t="s">
        <v>342</v>
      </c>
      <c r="B57" s="437" t="s">
        <v>126</v>
      </c>
      <c r="C57" s="462">
        <v>600000</v>
      </c>
    </row>
    <row r="58" spans="1:3" ht="19.5" customHeight="1">
      <c r="A58" s="451" t="s">
        <v>342</v>
      </c>
      <c r="B58" s="437" t="s">
        <v>128</v>
      </c>
      <c r="C58" s="462">
        <v>1500000</v>
      </c>
    </row>
    <row r="59" spans="1:3" ht="19.5" customHeight="1">
      <c r="A59" s="451" t="s">
        <v>342</v>
      </c>
      <c r="B59" s="437" t="s">
        <v>127</v>
      </c>
      <c r="C59" s="462">
        <v>100000</v>
      </c>
    </row>
    <row r="60" spans="1:3" ht="19.5" customHeight="1">
      <c r="A60" s="451" t="s">
        <v>342</v>
      </c>
      <c r="B60" s="437" t="s">
        <v>699</v>
      </c>
      <c r="C60" s="462">
        <v>6000000</v>
      </c>
    </row>
    <row r="61" spans="1:3" ht="19.5" customHeight="1">
      <c r="A61" s="451" t="s">
        <v>342</v>
      </c>
      <c r="B61" s="437" t="s">
        <v>700</v>
      </c>
      <c r="C61" s="462">
        <v>500000</v>
      </c>
    </row>
    <row r="62" spans="1:3" ht="19.5" customHeight="1">
      <c r="A62" s="451"/>
      <c r="B62" s="217"/>
      <c r="C62" s="462"/>
    </row>
    <row r="63" spans="1:3" ht="19.5" customHeight="1">
      <c r="A63" s="454"/>
      <c r="B63" s="134" t="s">
        <v>130</v>
      </c>
      <c r="C63" s="461"/>
    </row>
    <row r="64" spans="1:3" ht="19.5" customHeight="1">
      <c r="A64" s="451" t="s">
        <v>341</v>
      </c>
      <c r="B64" s="432" t="s">
        <v>131</v>
      </c>
      <c r="C64" s="462">
        <v>5121441</v>
      </c>
    </row>
    <row r="65" spans="1:3" ht="19.5" customHeight="1">
      <c r="A65" s="451" t="s">
        <v>341</v>
      </c>
      <c r="B65" s="432" t="s">
        <v>132</v>
      </c>
      <c r="C65" s="462">
        <v>16373653</v>
      </c>
    </row>
    <row r="66" spans="1:3" ht="19.5" customHeight="1">
      <c r="A66" s="451" t="s">
        <v>341</v>
      </c>
      <c r="B66" s="432" t="s">
        <v>695</v>
      </c>
      <c r="C66" s="462">
        <v>30000000</v>
      </c>
    </row>
    <row r="67" spans="1:3" ht="19.5" customHeight="1">
      <c r="A67" s="451" t="s">
        <v>341</v>
      </c>
      <c r="B67" s="432" t="s">
        <v>133</v>
      </c>
      <c r="C67" s="462">
        <v>960000</v>
      </c>
    </row>
    <row r="68" spans="1:3" ht="19.5" customHeight="1">
      <c r="A68" s="451" t="s">
        <v>341</v>
      </c>
      <c r="B68" s="432" t="s">
        <v>134</v>
      </c>
      <c r="C68" s="462">
        <v>1000000</v>
      </c>
    </row>
    <row r="69" spans="1:3" ht="19.5" customHeight="1">
      <c r="A69" s="451" t="s">
        <v>341</v>
      </c>
      <c r="B69" s="432" t="s">
        <v>808</v>
      </c>
      <c r="C69" s="462">
        <v>1000000</v>
      </c>
    </row>
    <row r="70" spans="1:3" ht="19.5" customHeight="1">
      <c r="A70" s="451" t="s">
        <v>342</v>
      </c>
      <c r="B70" s="432" t="s">
        <v>135</v>
      </c>
      <c r="C70" s="462">
        <v>200000</v>
      </c>
    </row>
    <row r="71" spans="1:3" ht="19.5" customHeight="1">
      <c r="A71" s="451" t="s">
        <v>342</v>
      </c>
      <c r="B71" s="432" t="s">
        <v>281</v>
      </c>
      <c r="C71" s="462">
        <v>50000</v>
      </c>
    </row>
    <row r="72" spans="1:3" ht="19.5" customHeight="1">
      <c r="A72" s="451" t="s">
        <v>342</v>
      </c>
      <c r="B72" s="432" t="s">
        <v>835</v>
      </c>
      <c r="C72" s="462">
        <v>150000</v>
      </c>
    </row>
    <row r="73" spans="1:3" ht="19.5" customHeight="1">
      <c r="A73" s="451"/>
      <c r="B73" s="432"/>
      <c r="C73" s="462"/>
    </row>
    <row r="74" spans="1:3" ht="19.5" customHeight="1">
      <c r="A74" s="451"/>
      <c r="B74" s="134" t="s">
        <v>810</v>
      </c>
      <c r="C74" s="462"/>
    </row>
    <row r="75" spans="1:3" ht="19.5" customHeight="1">
      <c r="A75" s="451" t="s">
        <v>342</v>
      </c>
      <c r="B75" s="437" t="s">
        <v>115</v>
      </c>
      <c r="C75" s="462">
        <v>350000</v>
      </c>
    </row>
    <row r="76" spans="1:3" ht="19.5" customHeight="1">
      <c r="A76" s="451" t="s">
        <v>342</v>
      </c>
      <c r="B76" s="432" t="s">
        <v>116</v>
      </c>
      <c r="C76" s="462">
        <v>300000</v>
      </c>
    </row>
    <row r="77" spans="1:3" ht="19.5" customHeight="1">
      <c r="A77" s="451" t="s">
        <v>342</v>
      </c>
      <c r="B77" s="432" t="s">
        <v>811</v>
      </c>
      <c r="C77" s="462">
        <v>150000</v>
      </c>
    </row>
    <row r="78" spans="1:3" ht="19.5" customHeight="1">
      <c r="A78" s="451"/>
      <c r="B78" s="432"/>
      <c r="C78" s="462"/>
    </row>
    <row r="79" spans="1:3" ht="19.5" customHeight="1">
      <c r="A79" s="451"/>
      <c r="B79" s="444" t="s">
        <v>367</v>
      </c>
      <c r="C79" s="458">
        <f>SUM(C6:C78)</f>
        <v>149678506</v>
      </c>
    </row>
    <row r="80" spans="1:3" ht="19.5" customHeight="1">
      <c r="A80" s="451"/>
      <c r="B80" s="134"/>
      <c r="C80" s="459"/>
    </row>
    <row r="81" spans="1:3" ht="19.5" customHeight="1">
      <c r="A81" s="454"/>
      <c r="B81" s="445" t="s">
        <v>136</v>
      </c>
      <c r="C81" s="467"/>
    </row>
    <row r="82" spans="1:3" ht="19.5" customHeight="1">
      <c r="A82" s="451" t="s">
        <v>342</v>
      </c>
      <c r="B82" s="437" t="s">
        <v>116</v>
      </c>
      <c r="C82" s="464">
        <v>1000000</v>
      </c>
    </row>
    <row r="83" spans="1:3" ht="19.5" customHeight="1">
      <c r="A83" s="451" t="s">
        <v>342</v>
      </c>
      <c r="B83" s="437" t="s">
        <v>117</v>
      </c>
      <c r="C83" s="464">
        <v>600000</v>
      </c>
    </row>
    <row r="84" spans="1:3" ht="19.5" customHeight="1">
      <c r="A84" s="451" t="s">
        <v>342</v>
      </c>
      <c r="B84" s="437" t="s">
        <v>813</v>
      </c>
      <c r="C84" s="464">
        <v>5000000</v>
      </c>
    </row>
    <row r="85" spans="1:3" ht="19.5" customHeight="1">
      <c r="A85" s="451"/>
      <c r="B85" s="444" t="s">
        <v>368</v>
      </c>
      <c r="C85" s="458">
        <f>SUM(C82:C84)</f>
        <v>6600000</v>
      </c>
    </row>
    <row r="86" spans="1:3" ht="19.5" customHeight="1">
      <c r="A86" s="451"/>
      <c r="B86" s="435"/>
      <c r="C86" s="463"/>
    </row>
    <row r="87" spans="1:3" ht="19.5" customHeight="1">
      <c r="A87" s="451"/>
      <c r="B87" s="446" t="s">
        <v>591</v>
      </c>
      <c r="C87" s="463"/>
    </row>
    <row r="88" spans="1:3" ht="19.5" customHeight="1">
      <c r="A88" s="451" t="s">
        <v>342</v>
      </c>
      <c r="B88" s="447" t="s">
        <v>120</v>
      </c>
      <c r="C88" s="464">
        <v>80000000</v>
      </c>
    </row>
    <row r="89" spans="1:3" ht="19.5" customHeight="1">
      <c r="A89" s="451"/>
      <c r="B89" s="455" t="s">
        <v>697</v>
      </c>
      <c r="C89" s="608">
        <f>SUM(C88)</f>
        <v>80000000</v>
      </c>
    </row>
    <row r="90" spans="1:3" ht="19.5" customHeight="1">
      <c r="A90" s="451"/>
      <c r="B90" s="448"/>
      <c r="C90" s="463"/>
    </row>
    <row r="91" spans="1:3" ht="19.5" customHeight="1">
      <c r="A91" s="451"/>
      <c r="B91" s="446" t="s">
        <v>595</v>
      </c>
      <c r="C91" s="464"/>
    </row>
    <row r="92" spans="1:3" ht="31.5">
      <c r="A92" s="451" t="s">
        <v>342</v>
      </c>
      <c r="B92" s="449" t="s">
        <v>679</v>
      </c>
      <c r="C92" s="464">
        <v>193945000</v>
      </c>
    </row>
    <row r="93" spans="1:3" ht="19.5" customHeight="1">
      <c r="A93" s="451" t="s">
        <v>342</v>
      </c>
      <c r="B93" s="449" t="s">
        <v>680</v>
      </c>
      <c r="C93" s="464">
        <v>250000000</v>
      </c>
    </row>
    <row r="94" spans="1:3" ht="19.5" customHeight="1">
      <c r="A94" s="451"/>
      <c r="B94" s="444" t="s">
        <v>696</v>
      </c>
      <c r="C94" s="458">
        <f>SUM(C92:C93)</f>
        <v>443945000</v>
      </c>
    </row>
    <row r="95" spans="1:3" ht="19.5" customHeight="1" thickBot="1">
      <c r="A95" s="456"/>
      <c r="B95" s="457"/>
      <c r="C95" s="460"/>
    </row>
    <row r="96" spans="1:3" ht="19.5" customHeight="1" thickBot="1" thickTop="1">
      <c r="A96" s="784" t="s">
        <v>698</v>
      </c>
      <c r="B96" s="785"/>
      <c r="C96" s="465">
        <f>+C85+C79+C88+C94</f>
        <v>680223506</v>
      </c>
    </row>
    <row r="97" ht="10.5" customHeight="1" thickTop="1">
      <c r="C97" s="439"/>
    </row>
    <row r="98" ht="11.25" customHeight="1">
      <c r="C98" s="10"/>
    </row>
    <row r="99" ht="15.75">
      <c r="C99" s="10"/>
    </row>
    <row r="100" ht="15.75">
      <c r="C100" s="10"/>
    </row>
    <row r="101" ht="15.75">
      <c r="C101" s="10"/>
    </row>
  </sheetData>
  <sheetProtection/>
  <mergeCells count="2">
    <mergeCell ref="A96:B96"/>
    <mergeCell ref="A3:C3"/>
  </mergeCells>
  <printOptions horizontalCentered="1"/>
  <pageMargins left="0.7874015748031497" right="0.7874015748031497" top="1.1811023622047245" bottom="0.7874015748031497" header="0.3937007874015748" footer="0"/>
  <pageSetup horizontalDpi="600" verticalDpi="600" orientation="portrait" paperSize="9" scale="64" r:id="rId1"/>
  <headerFooter>
    <oddFooter>&amp;C&amp;P. oldal, összesen: &amp;N</oddFooter>
  </headerFooter>
  <rowBreaks count="2" manualBreakCount="2">
    <brk id="45" max="2" man="1"/>
    <brk id="86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workbookViewId="0" topLeftCell="A1">
      <selection activeCell="G24" sqref="G24"/>
    </sheetView>
  </sheetViews>
  <sheetFormatPr defaultColWidth="9.00390625" defaultRowHeight="12.75"/>
  <cols>
    <col min="1" max="1" width="11.00390625" style="11" customWidth="1"/>
    <col min="2" max="2" width="69.375" style="11" customWidth="1"/>
    <col min="3" max="3" width="17.875" style="11" customWidth="1"/>
    <col min="4" max="4" width="20.75390625" style="11" customWidth="1"/>
    <col min="5" max="5" width="21.75390625" style="11" customWidth="1"/>
    <col min="6" max="6" width="21.125" style="11" customWidth="1"/>
    <col min="7" max="7" width="18.125" style="11" customWidth="1"/>
    <col min="8" max="16384" width="9.125" style="11" customWidth="1"/>
  </cols>
  <sheetData>
    <row r="1" spans="1:3" ht="15">
      <c r="A1" s="136" t="s">
        <v>0</v>
      </c>
      <c r="B1" s="136"/>
      <c r="C1" s="136" t="s">
        <v>581</v>
      </c>
    </row>
    <row r="3" spans="1:3" ht="28.5" customHeight="1">
      <c r="A3" s="136"/>
      <c r="B3" s="135" t="s">
        <v>636</v>
      </c>
      <c r="C3" s="136"/>
    </row>
    <row r="4" ht="13.5" thickBot="1"/>
    <row r="5" spans="1:3" ht="30.75" customHeight="1" thickBot="1" thickTop="1">
      <c r="A5" s="140" t="s">
        <v>372</v>
      </c>
      <c r="B5" s="141" t="s">
        <v>95</v>
      </c>
      <c r="C5" s="142" t="s">
        <v>637</v>
      </c>
    </row>
    <row r="6" spans="1:4" s="14" customFormat="1" ht="18" customHeight="1" thickTop="1">
      <c r="A6" s="668"/>
      <c r="B6" s="241" t="s">
        <v>373</v>
      </c>
      <c r="C6" s="669">
        <f>SUM(C7:C7)</f>
        <v>50000000</v>
      </c>
      <c r="D6" s="13"/>
    </row>
    <row r="7" spans="1:4" ht="18" customHeight="1">
      <c r="A7" s="670">
        <v>1</v>
      </c>
      <c r="B7" s="137" t="s">
        <v>343</v>
      </c>
      <c r="C7" s="671">
        <v>50000000</v>
      </c>
      <c r="D7" s="12"/>
    </row>
    <row r="8" spans="1:4" ht="18" customHeight="1">
      <c r="A8" s="672"/>
      <c r="B8" s="138"/>
      <c r="C8" s="671"/>
      <c r="D8" s="12"/>
    </row>
    <row r="9" spans="1:3" s="15" customFormat="1" ht="18" customHeight="1">
      <c r="A9" s="673"/>
      <c r="B9" s="139" t="s">
        <v>374</v>
      </c>
      <c r="C9" s="674">
        <f>SUM(C10:C13)</f>
        <v>499500000</v>
      </c>
    </row>
    <row r="10" spans="1:4" ht="18" customHeight="1">
      <c r="A10" s="672">
        <v>1</v>
      </c>
      <c r="B10" s="137" t="s">
        <v>137</v>
      </c>
      <c r="C10" s="671">
        <v>429870682</v>
      </c>
      <c r="D10" s="12"/>
    </row>
    <row r="11" spans="1:4" ht="18" customHeight="1">
      <c r="A11" s="672">
        <v>2</v>
      </c>
      <c r="B11" s="137" t="s">
        <v>262</v>
      </c>
      <c r="C11" s="675">
        <v>7000000</v>
      </c>
      <c r="D11" s="12"/>
    </row>
    <row r="12" spans="1:4" ht="18" customHeight="1">
      <c r="A12" s="670">
        <v>3</v>
      </c>
      <c r="B12" s="137" t="s">
        <v>285</v>
      </c>
      <c r="C12" s="464">
        <v>5000000</v>
      </c>
      <c r="D12" s="12"/>
    </row>
    <row r="13" spans="1:4" ht="18" customHeight="1" thickBot="1">
      <c r="A13" s="676">
        <v>4</v>
      </c>
      <c r="B13" s="609" t="s">
        <v>837</v>
      </c>
      <c r="C13" s="677">
        <v>57629318</v>
      </c>
      <c r="D13" s="12"/>
    </row>
    <row r="14" spans="1:3" ht="18" customHeight="1" thickBot="1" thickTop="1">
      <c r="A14" s="245"/>
      <c r="B14" s="246" t="s">
        <v>459</v>
      </c>
      <c r="C14" s="247">
        <f>SUM(C6+C9)</f>
        <v>549500000</v>
      </c>
    </row>
    <row r="15" ht="13.5" customHeight="1" thickTop="1"/>
    <row r="16" ht="23.25" customHeight="1"/>
    <row r="17" ht="13.5" customHeight="1">
      <c r="B17" s="135" t="s">
        <v>836</v>
      </c>
    </row>
    <row r="18" ht="13.5" thickBot="1"/>
    <row r="19" spans="1:3" ht="17.25" thickBot="1" thickTop="1">
      <c r="A19" s="140" t="s">
        <v>372</v>
      </c>
      <c r="B19" s="141" t="s">
        <v>95</v>
      </c>
      <c r="C19" s="142" t="s">
        <v>637</v>
      </c>
    </row>
    <row r="20" spans="1:3" ht="25.5" customHeight="1" thickBot="1" thickTop="1">
      <c r="A20" s="245">
        <v>1</v>
      </c>
      <c r="B20" s="678" t="s">
        <v>228</v>
      </c>
      <c r="C20" s="679">
        <v>3000000</v>
      </c>
    </row>
    <row r="21" ht="13.5" thickTop="1">
      <c r="C21" s="12"/>
    </row>
    <row r="26" ht="15.75">
      <c r="F26" s="24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Pallné Kovács Mária</dc:creator>
  <cp:keywords/>
  <dc:description/>
  <cp:lastModifiedBy>Dombováriné dr. Kozák Nikolett</cp:lastModifiedBy>
  <cp:lastPrinted>2022-02-14T08:19:14Z</cp:lastPrinted>
  <dcterms:created xsi:type="dcterms:W3CDTF">2018-02-13T12:36:36Z</dcterms:created>
  <dcterms:modified xsi:type="dcterms:W3CDTF">2022-02-18T12:11:30Z</dcterms:modified>
  <cp:category/>
  <cp:version/>
  <cp:contentType/>
  <cp:contentStatus/>
</cp:coreProperties>
</file>