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7590" tabRatio="601" activeTab="8"/>
  </bookViews>
  <sheets>
    <sheet name="1sz.mérleg" sheetId="1" r:id="rId1"/>
    <sheet name="2.sz.kiadás" sheetId="2" r:id="rId2"/>
    <sheet name="3.sz.bevétel_" sheetId="3" r:id="rId3"/>
    <sheet name="4.sz.állami tám." sheetId="4" r:id="rId4"/>
    <sheet name="5.sz.kiadás_feladat " sheetId="5" r:id="rId5"/>
    <sheet name="6.sz.bevétel feladat" sheetId="6" r:id="rId6"/>
    <sheet name="7.sz.int.kiad.  " sheetId="7" r:id="rId7"/>
    <sheet name="8.sz.int_bevétel  " sheetId="8" r:id="rId8"/>
    <sheet name="9.sz.támogatás " sheetId="9" r:id="rId9"/>
    <sheet name="10.sz.céltartalék" sheetId="10" r:id="rId10"/>
    <sheet name="11sz._ Önk_beruh " sheetId="11" r:id="rId11"/>
    <sheet name="12.sz_létszám " sheetId="12" r:id="rId12"/>
    <sheet name="13.sz. ei.ütemterv" sheetId="13" r:id="rId13"/>
    <sheet name="14.sz.közvetett_tám " sheetId="14" r:id="rId14"/>
    <sheet name="15.sz.több éves " sheetId="15" r:id="rId15"/>
    <sheet name="16.sz. pályázatok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Excel_BuiltIn_Print_Area_100_1" localSheetId="7">#REF!</definedName>
    <definedName name="Excel_BuiltIn_Print_Area_109_1" localSheetId="7">#REF!</definedName>
    <definedName name="Excel_BuiltIn_Print_Area_109_1">'11sz._ Önk_beruh '!$A$9:$B$30</definedName>
    <definedName name="Excel_BuiltIn_Print_Area_111" localSheetId="7">#REF!</definedName>
    <definedName name="Excel_BuiltIn_Print_Area_14_1" localSheetId="10">#REF!</definedName>
    <definedName name="Excel_BuiltIn_Print_Area_14_1" localSheetId="11">#REF!</definedName>
    <definedName name="Excel_BuiltIn_Print_Area_14_1" localSheetId="13">#REF!</definedName>
    <definedName name="Excel_BuiltIn_Print_Area_14_1" localSheetId="6">#REF!</definedName>
    <definedName name="Excel_BuiltIn_Print_Area_14_1" localSheetId="7">#REF!</definedName>
    <definedName name="Excel_BuiltIn_Print_Area_14_1">#REF!</definedName>
    <definedName name="Excel_BuiltIn_Print_Area_14_1_1" localSheetId="10">#REF!</definedName>
    <definedName name="Excel_BuiltIn_Print_Area_14_1_1" localSheetId="11">#REF!</definedName>
    <definedName name="Excel_BuiltIn_Print_Area_14_1_1" localSheetId="13">#REF!</definedName>
    <definedName name="Excel_BuiltIn_Print_Area_14_1_1" localSheetId="6">#REF!</definedName>
    <definedName name="Excel_BuiltIn_Print_Area_14_1_1" localSheetId="7">#REF!</definedName>
    <definedName name="Excel_BuiltIn_Print_Area_14_1_1">#REF!</definedName>
    <definedName name="Excel_BuiltIn_Print_Area_29_1" localSheetId="10">#REF!</definedName>
    <definedName name="Excel_BuiltIn_Print_Area_29_1" localSheetId="11">#REF!</definedName>
    <definedName name="Excel_BuiltIn_Print_Area_29_1" localSheetId="13">#REF!</definedName>
    <definedName name="Excel_BuiltIn_Print_Area_29_1" localSheetId="6">#REF!</definedName>
    <definedName name="Excel_BuiltIn_Print_Area_29_1" localSheetId="7">#REF!</definedName>
    <definedName name="Excel_BuiltIn_Print_Area_29_1">#REF!</definedName>
    <definedName name="Excel_BuiltIn_Print_Area_29_1_1" localSheetId="10">#REF!</definedName>
    <definedName name="Excel_BuiltIn_Print_Area_29_1_1" localSheetId="11">#REF!</definedName>
    <definedName name="Excel_BuiltIn_Print_Area_29_1_1" localSheetId="13">#REF!</definedName>
    <definedName name="Excel_BuiltIn_Print_Area_29_1_1" localSheetId="6">#REF!</definedName>
    <definedName name="Excel_BuiltIn_Print_Area_29_1_1" localSheetId="7">#REF!</definedName>
    <definedName name="Excel_BuiltIn_Print_Area_29_1_1">#REF!</definedName>
    <definedName name="Excel_BuiltIn_Print_Area_31_1" localSheetId="10">#REF!</definedName>
    <definedName name="Excel_BuiltIn_Print_Area_31_1" localSheetId="11">#REF!</definedName>
    <definedName name="Excel_BuiltIn_Print_Area_31_1" localSheetId="13">#REF!</definedName>
    <definedName name="Excel_BuiltIn_Print_Area_31_1" localSheetId="6">#REF!</definedName>
    <definedName name="Excel_BuiltIn_Print_Area_31_1" localSheetId="7">#REF!</definedName>
    <definedName name="Excel_BuiltIn_Print_Area_31_1">#REF!</definedName>
    <definedName name="Excel_BuiltIn_Print_Area_32_1" localSheetId="10">#REF!</definedName>
    <definedName name="Excel_BuiltIn_Print_Area_32_1" localSheetId="11">#REF!</definedName>
    <definedName name="Excel_BuiltIn_Print_Area_32_1" localSheetId="13">#REF!</definedName>
    <definedName name="Excel_BuiltIn_Print_Area_32_1" localSheetId="6">#REF!</definedName>
    <definedName name="Excel_BuiltIn_Print_Area_32_1" localSheetId="7">#REF!</definedName>
    <definedName name="Excel_BuiltIn_Print_Area_32_1">#REF!</definedName>
    <definedName name="Excel_BuiltIn_Print_Area_34_1" localSheetId="10">#REF!</definedName>
    <definedName name="Excel_BuiltIn_Print_Area_34_1" localSheetId="11">#REF!</definedName>
    <definedName name="Excel_BuiltIn_Print_Area_34_1" localSheetId="13">#REF!</definedName>
    <definedName name="Excel_BuiltIn_Print_Area_34_1" localSheetId="6">#REF!</definedName>
    <definedName name="Excel_BuiltIn_Print_Area_34_1" localSheetId="7">#REF!</definedName>
    <definedName name="Excel_BuiltIn_Print_Area_34_1">#REF!</definedName>
    <definedName name="Excel_BuiltIn_Print_Area_37_1" localSheetId="10">#REF!</definedName>
    <definedName name="Excel_BuiltIn_Print_Area_37_1" localSheetId="11">#REF!</definedName>
    <definedName name="Excel_BuiltIn_Print_Area_37_1" localSheetId="13">#REF!</definedName>
    <definedName name="Excel_BuiltIn_Print_Area_37_1" localSheetId="6">#REF!</definedName>
    <definedName name="Excel_BuiltIn_Print_Area_37_1" localSheetId="7">#REF!</definedName>
    <definedName name="Excel_BuiltIn_Print_Area_37_1">#REF!</definedName>
    <definedName name="Excel_BuiltIn_Print_Area_55_1" localSheetId="10">#REF!</definedName>
    <definedName name="Excel_BuiltIn_Print_Area_55_1" localSheetId="11">#REF!</definedName>
    <definedName name="Excel_BuiltIn_Print_Area_55_1" localSheetId="13">#REF!</definedName>
    <definedName name="Excel_BuiltIn_Print_Area_55_1" localSheetId="6">#REF!</definedName>
    <definedName name="Excel_BuiltIn_Print_Area_55_1" localSheetId="7">#REF!</definedName>
    <definedName name="Excel_BuiltIn_Print_Area_55_1">#REF!</definedName>
    <definedName name="intletszam">#REF!</definedName>
    <definedName name="letszam">#REF!</definedName>
    <definedName name="letszam_int">#REF!</definedName>
    <definedName name="_xlnm.Print_Titles" localSheetId="10">'11sz._ Önk_beruh '!$7:$8</definedName>
    <definedName name="_xlnm.Print_Titles" localSheetId="15">'16.sz. pályázatok'!$4:$4</definedName>
    <definedName name="_xlnm.Print_Titles" localSheetId="8">'9.sz.támogatás '!$5:$5</definedName>
    <definedName name="_xlnm.Print_Area" localSheetId="9">'10.sz.céltartalék'!$A$1:$C$19</definedName>
    <definedName name="_xlnm.Print_Area" localSheetId="10">'11sz._ Önk_beruh '!$A$1:$C$49</definedName>
    <definedName name="_xlnm.Print_Area" localSheetId="11">'12.sz_létszám '!$A$1:$I$48</definedName>
    <definedName name="_xlnm.Print_Area" localSheetId="12">'13.sz. ei.ütemterv'!$A$1:$N$25</definedName>
    <definedName name="_xlnm.Print_Area" localSheetId="13">'14.sz.közvetett_tám '!$A$1:$F$14</definedName>
    <definedName name="_xlnm.Print_Area" localSheetId="14">'15.sz.több éves '!$A$1:$E$34</definedName>
    <definedName name="_xlnm.Print_Area" localSheetId="0">'1sz.mérleg'!$A$1:$F$34</definedName>
    <definedName name="_xlnm.Print_Area" localSheetId="1">'2.sz.kiadás'!$A$1:$D$32</definedName>
    <definedName name="_xlnm.Print_Area" localSheetId="2">'3.sz.bevétel_'!$A$1:$D$48</definedName>
    <definedName name="_xlnm.Print_Area" localSheetId="3">'4.sz.állami tám.'!$A$1:$C$37</definedName>
    <definedName name="_xlnm.Print_Area" localSheetId="4">'5.sz.kiadás_feladat '!$A$1:$R$78</definedName>
    <definedName name="_xlnm.Print_Area" localSheetId="5">'6.sz.bevétel feladat'!$A$1:$U$24</definedName>
    <definedName name="_xlnm.Print_Area" localSheetId="6">'7.sz.int.kiad.  '!$A$1:$I$13</definedName>
    <definedName name="_xlnm.Print_Area" localSheetId="7">'8.sz.int_bevétel  '!$A$1:$M$13</definedName>
    <definedName name="_xlnm.Print_Area" localSheetId="8">'9.sz.támogatás '!$A$1:$C$85</definedName>
    <definedName name="pm" localSheetId="10">#REF!</definedName>
    <definedName name="pm" localSheetId="11">#REF!</definedName>
    <definedName name="pm" localSheetId="13">#REF!</definedName>
    <definedName name="pm" localSheetId="6">#REF!</definedName>
    <definedName name="pm" localSheetId="7">#REF!</definedName>
    <definedName name="pm">#REF!</definedName>
    <definedName name="pmg">#REF!</definedName>
  </definedNames>
  <calcPr fullCalcOnLoad="1"/>
</workbook>
</file>

<file path=xl/sharedStrings.xml><?xml version="1.0" encoding="utf-8"?>
<sst xmlns="http://schemas.openxmlformats.org/spreadsheetml/2006/main" count="1069" uniqueCount="794">
  <si>
    <t>6.sz. melléklet</t>
  </si>
  <si>
    <t>Dunakeszi Város Önkormányzata</t>
  </si>
  <si>
    <t>(adatok  forintban)</t>
  </si>
  <si>
    <t>Önkormányzatok működési támogatásai</t>
  </si>
  <si>
    <t>Felhalm.célú önk.tám.ÁH belül</t>
  </si>
  <si>
    <t>Közhatalmi bevételek</t>
  </si>
  <si>
    <t>Működési bevételek</t>
  </si>
  <si>
    <t>Felhalmozási bevételek</t>
  </si>
  <si>
    <t xml:space="preserve">Egyéb működési célú támogatások ÁH belül </t>
  </si>
  <si>
    <t>Vagyoni tipusú adók</t>
  </si>
  <si>
    <t>Értékesítési és forgalmi adók</t>
  </si>
  <si>
    <t>Egyéb közhatalmi bevételek</t>
  </si>
  <si>
    <t>Kiszámlázott ÁFA</t>
  </si>
  <si>
    <t>Finanszírozási bevételek</t>
  </si>
  <si>
    <t>Felhalmozási célú átvett pénzeszközök</t>
  </si>
  <si>
    <t>COFOG szám</t>
  </si>
  <si>
    <t>F e l a d a t o k</t>
  </si>
  <si>
    <t>Bevételek</t>
  </si>
  <si>
    <t xml:space="preserve"> </t>
  </si>
  <si>
    <t>A</t>
  </si>
  <si>
    <t xml:space="preserve">Kötelező feladatok </t>
  </si>
  <si>
    <t>013350</t>
  </si>
  <si>
    <t>Az önkormányzati vagyonnal való gazdálk. kapcs. feladatok</t>
  </si>
  <si>
    <t>018010</t>
  </si>
  <si>
    <t>Önk. elszámolásai központi költségvetéssel</t>
  </si>
  <si>
    <t>018030</t>
  </si>
  <si>
    <t>045120</t>
  </si>
  <si>
    <t>045140</t>
  </si>
  <si>
    <t>045170</t>
  </si>
  <si>
    <t>Háziorvosi alapellátás</t>
  </si>
  <si>
    <t>081030</t>
  </si>
  <si>
    <t>900020</t>
  </si>
  <si>
    <t>Önkormányzatok funkcióra nem sor.bevételei ÁH kívülről</t>
  </si>
  <si>
    <t>900060</t>
  </si>
  <si>
    <t>Forgatási és befektetési célú finanszírozási műveletek</t>
  </si>
  <si>
    <t>I.</t>
  </si>
  <si>
    <t xml:space="preserve"> Önkormányzat feladatai összesen:</t>
  </si>
  <si>
    <t>III.</t>
  </si>
  <si>
    <t>IV.</t>
  </si>
  <si>
    <t>V.</t>
  </si>
  <si>
    <t>Önkormányzat mindösszesen:</t>
  </si>
  <si>
    <t>Ssz.</t>
  </si>
  <si>
    <t>jogcíme</t>
  </si>
  <si>
    <t>1.</t>
  </si>
  <si>
    <t>B1</t>
  </si>
  <si>
    <t>2.</t>
  </si>
  <si>
    <t>B111</t>
  </si>
  <si>
    <t>3.</t>
  </si>
  <si>
    <t>B112</t>
  </si>
  <si>
    <t xml:space="preserve">Települési önk. egyes köznevelési feladatainak támogatása </t>
  </si>
  <si>
    <t>4.</t>
  </si>
  <si>
    <t>5.</t>
  </si>
  <si>
    <t>B114</t>
  </si>
  <si>
    <t>6.</t>
  </si>
  <si>
    <t>Összesen</t>
  </si>
  <si>
    <t>B16</t>
  </si>
  <si>
    <t>Egyéb működési célú támogatások  ÁH belül</t>
  </si>
  <si>
    <t>B2</t>
  </si>
  <si>
    <t>Felhalmozási célú önkormányzati támogatások ÁH belül</t>
  </si>
  <si>
    <t>B21</t>
  </si>
  <si>
    <t>B25</t>
  </si>
  <si>
    <t>Egyéb felhalmozási célú önkormányzati támogatások ÁH belül</t>
  </si>
  <si>
    <t>B3</t>
  </si>
  <si>
    <t>B34</t>
  </si>
  <si>
    <t>Építményadó</t>
  </si>
  <si>
    <t xml:space="preserve">Telekadó </t>
  </si>
  <si>
    <t>B36</t>
  </si>
  <si>
    <t>B4</t>
  </si>
  <si>
    <t>B402</t>
  </si>
  <si>
    <t>Szolgáltatások ellenértéke</t>
  </si>
  <si>
    <t>Lakáscélú helyiségek bérleti díja +üzemeltetés</t>
  </si>
  <si>
    <t xml:space="preserve">Egyéb önkormányzati vagyon bérbeadása </t>
  </si>
  <si>
    <t>B403</t>
  </si>
  <si>
    <t>Közvetített szolgáltatások ellenértéke</t>
  </si>
  <si>
    <t>B406</t>
  </si>
  <si>
    <t>B408</t>
  </si>
  <si>
    <t>Kamatbevételek</t>
  </si>
  <si>
    <t>B5</t>
  </si>
  <si>
    <t>Ingatlanok értékesítése</t>
  </si>
  <si>
    <t>B6</t>
  </si>
  <si>
    <t>Működési célú átvett pénzeszközök ÁH kívülről</t>
  </si>
  <si>
    <t xml:space="preserve">Egyéb működési célú átvett pénzeszközök </t>
  </si>
  <si>
    <t>B7</t>
  </si>
  <si>
    <t>B75</t>
  </si>
  <si>
    <t>Egyéb felhalmozási célú átvett pénzeszköz</t>
  </si>
  <si>
    <t>Költségvetési bevételek összesen</t>
  </si>
  <si>
    <t>B8</t>
  </si>
  <si>
    <t>Forgatási célú belf. értékpapírok beváltása</t>
  </si>
  <si>
    <t>B813</t>
  </si>
  <si>
    <t>Költségvetési maradvány igénybevétele</t>
  </si>
  <si>
    <t xml:space="preserve">B E V É T E L E K   Ö S S Z E S E N </t>
  </si>
  <si>
    <t>( adatok forintban)</t>
  </si>
  <si>
    <t>3.sz. melléklet</t>
  </si>
  <si>
    <t>Önkormányzati fejlesztési feladatok</t>
  </si>
  <si>
    <t>Helyi közutak, közterek és parkok</t>
  </si>
  <si>
    <t>Településrendezés, településfejlesztés</t>
  </si>
  <si>
    <t>Egészségügyi intézmények fejlesztése</t>
  </si>
  <si>
    <t>Költségvetési intézmények fejlesztései</t>
  </si>
  <si>
    <t xml:space="preserve">Önként vállalt feladatok </t>
  </si>
  <si>
    <t>II.</t>
  </si>
  <si>
    <t>Önkormányzati felújítási feladatok</t>
  </si>
  <si>
    <t>Játszótér felújítások</t>
  </si>
  <si>
    <t xml:space="preserve">Önk-i vagyonnal való gazdálkodás </t>
  </si>
  <si>
    <t>Intézmény felújítások</t>
  </si>
  <si>
    <t>( adatok forintban )</t>
  </si>
  <si>
    <t>11.sz. melléklet</t>
  </si>
  <si>
    <t>7.sz. melléklet</t>
  </si>
  <si>
    <t>(adatok Ft-ban)</t>
  </si>
  <si>
    <t>Kötelező feladatok</t>
  </si>
  <si>
    <t>Kiadások</t>
  </si>
  <si>
    <t>Beruházások</t>
  </si>
  <si>
    <t>Felújítások</t>
  </si>
  <si>
    <t>Polgármesteri Hivatal</t>
  </si>
  <si>
    <t>Városi Sportigazgatóság</t>
  </si>
  <si>
    <t>MINDÖSSZESEN:</t>
  </si>
  <si>
    <t>8.sz. melléklet</t>
  </si>
  <si>
    <t>Bevételek összesen</t>
  </si>
  <si>
    <t>Önkormányzati támogatás</t>
  </si>
  <si>
    <t xml:space="preserve">Felhalmozási célú átvett pénzeszközök </t>
  </si>
  <si>
    <t>Polgármesteri hivatal</t>
  </si>
  <si>
    <t>Támogatási jogcím</t>
  </si>
  <si>
    <t xml:space="preserve">Települési önkormányzatok működésének támogatása </t>
  </si>
  <si>
    <t xml:space="preserve">Települési önkormányzatok egyes köznevelési  feladatainak támogatása </t>
  </si>
  <si>
    <t xml:space="preserve">Óvodaműködtetési támogatás </t>
  </si>
  <si>
    <t>Kiegészítő támogatás az  óvodapedagógusok minősítésből adódó többletkiadásokhoz</t>
  </si>
  <si>
    <t>Egyes szociális és gyermekjóléti feladatok támogatása</t>
  </si>
  <si>
    <t xml:space="preserve">Család- és gyermekjóléti szolgálat </t>
  </si>
  <si>
    <t>Család- és gyermekjóléti központ</t>
  </si>
  <si>
    <t>Gyermekétkeztetés támogatása</t>
  </si>
  <si>
    <t>A finanszírozás szempontjából elismert szakmai dolgozók bértámogatása</t>
  </si>
  <si>
    <t>Gyermekétkeztetés üzemeltetési támogatása</t>
  </si>
  <si>
    <t>Bölcsőde támogatása</t>
  </si>
  <si>
    <t xml:space="preserve">Települési önkormányzatok kulturális feladatainak támogatása </t>
  </si>
  <si>
    <t>Nyilvános könyvtári és a közművelődési feladatok támogatása</t>
  </si>
  <si>
    <t>Megnevezés</t>
  </si>
  <si>
    <t>1. Igazgatási feladatokokra átadott pénzeszközök :</t>
  </si>
  <si>
    <t>Működési pénzeszköz átadás Társulás részére tagi hozzájárulás</t>
  </si>
  <si>
    <t>Nemzetközi kapcsolatok</t>
  </si>
  <si>
    <t>3. Közrendvédelmi, közbiztonsági feladatok támogatása:</t>
  </si>
  <si>
    <t xml:space="preserve">Dunakeszi Rendőrkapitányság </t>
  </si>
  <si>
    <t>Dunakeszi Városi Polgárőr tevékenység támogatása</t>
  </si>
  <si>
    <t>4. Közoktatási, közművelődési támogatások</t>
  </si>
  <si>
    <t xml:space="preserve">VOKE József Attila Művelődési Központ </t>
  </si>
  <si>
    <t>Dunakeszi Fúvószenekari Egyesület</t>
  </si>
  <si>
    <t>Dunakeszi Szimfonikus Zenekar Egyesület</t>
  </si>
  <si>
    <t>Dunakeszi Városvédő és Városszépítő Egyesület</t>
  </si>
  <si>
    <t>Tóth Mariska Hagyományőrző Alapítvány</t>
  </si>
  <si>
    <t>Dunakeszi Diófa Nagycsaládosok Egyesülete</t>
  </si>
  <si>
    <t xml:space="preserve">Vasutasok Dunakeszi Nyugdíjas Alapszervezete </t>
  </si>
  <si>
    <t>Eudoxia Irodalom-Tudomány-, Művészetpártoló Családsegítő alapítvány</t>
  </si>
  <si>
    <t>Rákóczi Szövetség Dunakeszi Szervezete</t>
  </si>
  <si>
    <t>Radnóti Gimnázium Diákjaiért Alapítvány</t>
  </si>
  <si>
    <t>Dunakeszi Szent István Általános Iskoláért Alapítvány</t>
  </si>
  <si>
    <t>Dunakeszi Széchenyi István Általános Iskolai Alapítvány</t>
  </si>
  <si>
    <t>A korszerű oktatás feltételrendszerének biztosításával a jövő emberéért Alapítvány</t>
  </si>
  <si>
    <t>Kőrösi Csoma Sándor Általános Iskola Alapítvány</t>
  </si>
  <si>
    <t>Zöld Iskola Alapítvány</t>
  </si>
  <si>
    <t>Önkormányzati intézmények</t>
  </si>
  <si>
    <t>Dunakeszi-Gyártelep Egyházközség</t>
  </si>
  <si>
    <t>Dunakeszi Szent Mihály Egyházközség</t>
  </si>
  <si>
    <t>Dunakeszi Református Egyházközség</t>
  </si>
  <si>
    <t>Dunakeszi Evangélikus Egyházközség</t>
  </si>
  <si>
    <t>6. Sportcélú támogatások, pénzeszköz átadások</t>
  </si>
  <si>
    <t xml:space="preserve">Diáksport támogatások </t>
  </si>
  <si>
    <t>Városi Sportegyesület Dunakeszi</t>
  </si>
  <si>
    <t>Életfa KSE</t>
  </si>
  <si>
    <t>Dunakeszi Diák  és Szabadidő Kajak Klub</t>
  </si>
  <si>
    <t>SVSE Kempo Klub</t>
  </si>
  <si>
    <t>Dunakeszi Pom-pon Csoport</t>
  </si>
  <si>
    <t>Dunakeszi Kiscicák Kosárlabda</t>
  </si>
  <si>
    <t xml:space="preserve">Judo ANC Felkelő nap SE </t>
  </si>
  <si>
    <t>Taekwando Fanatics</t>
  </si>
  <si>
    <t>Sárkányhajó Klub</t>
  </si>
  <si>
    <t>Horgász Egyesület</t>
  </si>
  <si>
    <t>Városi versenyek kupa, terembérlet kiadás támogatása</t>
  </si>
  <si>
    <t xml:space="preserve">Jubileumi, egyesületi és egyéni sportolók felkészülési támogatása </t>
  </si>
  <si>
    <t>Futakeszi</t>
  </si>
  <si>
    <t>7. Szociális és egészségügyi feladatok támogatása, pénzeszköz átadásai :</t>
  </si>
  <si>
    <t xml:space="preserve">Működési pénzeszköz átadás Társulás részére állategészségügyi feladatokra </t>
  </si>
  <si>
    <t xml:space="preserve">Működési pénzeszköz átadás Társulás részére orvosi ügyeleti feladatokra </t>
  </si>
  <si>
    <t>Myrai Vallási Közhasznú Egyesület hajléktalan ellátás</t>
  </si>
  <si>
    <t>Egymásért-közösen Mozgáskorlátozottak Egyesülete</t>
  </si>
  <si>
    <t>SZÉRA Családok átmeneti otthona</t>
  </si>
  <si>
    <t>Magyar Vöröskereszt Dunakeszi Szervezete</t>
  </si>
  <si>
    <t>Felhalmozási célú támogatások</t>
  </si>
  <si>
    <t xml:space="preserve">Görögkatolikus Egyházközség </t>
  </si>
  <si>
    <t>Pályázati önrész, pályázatokkal kapcsolatos feladatok</t>
  </si>
  <si>
    <t>Mindösszesen:</t>
  </si>
  <si>
    <t>Költségvetési intézmény                                                       megnevezése</t>
  </si>
  <si>
    <t>Teljes munka-idős</t>
  </si>
  <si>
    <t>Rész munkaidős</t>
  </si>
  <si>
    <t>Összes</t>
  </si>
  <si>
    <t>Teljes munkaidős</t>
  </si>
  <si>
    <t>6 órás</t>
  </si>
  <si>
    <t>4 órás</t>
  </si>
  <si>
    <t>ÖNKORMÁNYZAT</t>
  </si>
  <si>
    <t xml:space="preserve">   - polgármester</t>
  </si>
  <si>
    <t xml:space="preserve">   - alpolgármester</t>
  </si>
  <si>
    <t xml:space="preserve">   - mezőőr</t>
  </si>
  <si>
    <t xml:space="preserve">   - jegyző</t>
  </si>
  <si>
    <t xml:space="preserve">   - aljegyző</t>
  </si>
  <si>
    <t xml:space="preserve">   - köztisztviselő</t>
  </si>
  <si>
    <t xml:space="preserve">   - ügykezelő</t>
  </si>
  <si>
    <t xml:space="preserve">   - fizikai alkalmazottak</t>
  </si>
  <si>
    <t>DÓHSZK</t>
  </si>
  <si>
    <t xml:space="preserve">   -DÓHSZK Igazgatás</t>
  </si>
  <si>
    <t>Gazdasági osztály</t>
  </si>
  <si>
    <t>Gyerekfelügyelet</t>
  </si>
  <si>
    <t xml:space="preserve">   - Kincsem Utcai Bölcsődei Tph.</t>
  </si>
  <si>
    <t xml:space="preserve">  -  Család-és Gyermekjóléti Szolgálat     szakmai egység (Alapellátási Csoport)</t>
  </si>
  <si>
    <t xml:space="preserve">   - Család- és Gyermekjóléti járási szolgáltatási szakmai egység (Járási Csoport)</t>
  </si>
  <si>
    <t>Óvodai Intézményi Szakmai Egység</t>
  </si>
  <si>
    <t>Eszterlánc Tagóvoda</t>
  </si>
  <si>
    <t>Alagi Tagóvoda</t>
  </si>
  <si>
    <t>Gyöngyharmat Tagóvoda</t>
  </si>
  <si>
    <t>Piros Tagóvoda</t>
  </si>
  <si>
    <t>Meseház Tagóvoda</t>
  </si>
  <si>
    <t>Játszóház Tagóvoda</t>
  </si>
  <si>
    <t>Kölcsey Ferenc Városi Könyvtár</t>
  </si>
  <si>
    <t>ÖNKORMÁNYZAT ÖSSZESEN</t>
  </si>
  <si>
    <t>5.sz.melléklet</t>
  </si>
  <si>
    <t>Kiadások összeen</t>
  </si>
  <si>
    <t>Felhalmozási kiadások</t>
  </si>
  <si>
    <t>COFOG</t>
  </si>
  <si>
    <t>Felhalmozási tartalék</t>
  </si>
  <si>
    <t>Finanszírozási kiadások</t>
  </si>
  <si>
    <t>Önkormányzatok és önk.hivatalok jogalkotó és ált. igazg.tevékeny.</t>
  </si>
  <si>
    <t>Köztemető fenntartás és működtetés</t>
  </si>
  <si>
    <t>Az önkormányzati vagyonnal való gazdálk.kapcs. feladatok</t>
  </si>
  <si>
    <t xml:space="preserve">Kiemelt állami és önkormányzati rendezvények                </t>
  </si>
  <si>
    <t>Városi és elővárosi közúti személyszállítás</t>
  </si>
  <si>
    <t>Közutak, hidak, alagutak üzemeltetése, fenntartása</t>
  </si>
  <si>
    <t>Parkoló, garázs üzemeltetése, fenntartása</t>
  </si>
  <si>
    <t>Szennyvíz gyűjtése, tisztítása, elhelyezése</t>
  </si>
  <si>
    <t xml:space="preserve">Településfejlesztés igazgatása                              </t>
  </si>
  <si>
    <t>Közvilágítás</t>
  </si>
  <si>
    <t>Zöldterület kezelés</t>
  </si>
  <si>
    <t>Város, községgazdálkodási egyéb szolgáltatások</t>
  </si>
  <si>
    <t>Háziorvosi ügyelet</t>
  </si>
  <si>
    <t>Járóbetegek gyógyító szakellátása</t>
  </si>
  <si>
    <t xml:space="preserve">Fogorvosi alapellátás                                       </t>
  </si>
  <si>
    <t>Iskolai, diáksport-tevékenység és támogatása</t>
  </si>
  <si>
    <t xml:space="preserve">Óvodai nevelés, ellátás működtetési feladatai               </t>
  </si>
  <si>
    <t>Gyermekek átmeneti ellátása</t>
  </si>
  <si>
    <t>Gyermekek bölcsődei ellátása</t>
  </si>
  <si>
    <t>Család és gyermekjóléti központ</t>
  </si>
  <si>
    <t>Hajléktalanok átmeneti ellátása</t>
  </si>
  <si>
    <t>Egyéb szociális pénzbeli és természetbeni ellátások, támogatások</t>
  </si>
  <si>
    <t>Kötelező feladatok összesen:</t>
  </si>
  <si>
    <t>Közterület rendjének fenntartása</t>
  </si>
  <si>
    <t>Sportlétesítmények, edzőtáborok működtetése és fejlesztése</t>
  </si>
  <si>
    <t>Versenysport és utánpótlás-nevelési tevékenység támogatása</t>
  </si>
  <si>
    <t>Szabadidősport- (rekreációs sport-) tevékenység és támogatása</t>
  </si>
  <si>
    <t>Könyvtári szolgáltatások</t>
  </si>
  <si>
    <t>Közművelődés- hagyományos közösségi kulturális értékek gond.</t>
  </si>
  <si>
    <t>Civil szervezetek  működési támogatása</t>
  </si>
  <si>
    <t>Civil szervezetek programtámogatása</t>
  </si>
  <si>
    <t xml:space="preserve">Egyházak, közösségi és hitéleti tevékenység támogatása </t>
  </si>
  <si>
    <t>Nemzetközi kulturális együttműködés</t>
  </si>
  <si>
    <t>Önként vállalt feladatok összesen:</t>
  </si>
  <si>
    <t>Működési kiadások</t>
  </si>
  <si>
    <t>K1</t>
  </si>
  <si>
    <t>K2</t>
  </si>
  <si>
    <t xml:space="preserve"> Munkaadókat terhelő járulékok, szociális hozzájárulási adó</t>
  </si>
  <si>
    <t>K3</t>
  </si>
  <si>
    <t>K4</t>
  </si>
  <si>
    <t>K5</t>
  </si>
  <si>
    <t xml:space="preserve">Egyéb működési célú kiadások </t>
  </si>
  <si>
    <t>K506</t>
  </si>
  <si>
    <t>K512</t>
  </si>
  <si>
    <t xml:space="preserve">Egyéb működési célú támogatások ÁH kívül </t>
  </si>
  <si>
    <t>K513</t>
  </si>
  <si>
    <t>Tartalékok</t>
  </si>
  <si>
    <t>K6</t>
  </si>
  <si>
    <t>K61</t>
  </si>
  <si>
    <t>Immateriális javak beszerzése</t>
  </si>
  <si>
    <t>K62</t>
  </si>
  <si>
    <t>Ingatlanok beszerzése, létesítése</t>
  </si>
  <si>
    <t xml:space="preserve">K63 </t>
  </si>
  <si>
    <t>Informatikai eszközök beszerzése</t>
  </si>
  <si>
    <t>K64</t>
  </si>
  <si>
    <t>Egyéb tárgyi eszközök beszerzése</t>
  </si>
  <si>
    <t>K67</t>
  </si>
  <si>
    <t>Beruházási célú előzetesen felszámított ÁFA</t>
  </si>
  <si>
    <t>K7</t>
  </si>
  <si>
    <t>K71</t>
  </si>
  <si>
    <t>Ingatlanok felújítása</t>
  </si>
  <si>
    <t>K74</t>
  </si>
  <si>
    <t>Felújítási célú előzetesen felszámított ÁFA</t>
  </si>
  <si>
    <t>K8</t>
  </si>
  <si>
    <t>Egyéb felhalmozási célú kiadások</t>
  </si>
  <si>
    <t>K84</t>
  </si>
  <si>
    <t>Egyéb felhalmozási célú támogatások ÁH belül</t>
  </si>
  <si>
    <t>K89</t>
  </si>
  <si>
    <t>Egyéb felhalmozási célú támogatások ÁH kívül</t>
  </si>
  <si>
    <t>Költségvetési kiadások összesen</t>
  </si>
  <si>
    <t>K9</t>
  </si>
  <si>
    <t xml:space="preserve">Finanszírozási kiadások </t>
  </si>
  <si>
    <t xml:space="preserve">K I A D Á S O K   Ö S S Z E S E N </t>
  </si>
  <si>
    <t>Személyi juttatások</t>
  </si>
  <si>
    <t>Munkaadókat terh. járulékok, szociális hozzájárulási adó</t>
  </si>
  <si>
    <t>Dologi kiadások</t>
  </si>
  <si>
    <t>Ellátottak pénzbeli juttatásai</t>
  </si>
  <si>
    <t>Egyéb működési célú kiadások</t>
  </si>
  <si>
    <t>Általános tartalék</t>
  </si>
  <si>
    <t xml:space="preserve">Működési  céltartalék </t>
  </si>
  <si>
    <t>Beruházási kiadások</t>
  </si>
  <si>
    <t>Felújítási kiadások</t>
  </si>
  <si>
    <t>Felhalmozási céltartalék</t>
  </si>
  <si>
    <t>Előző évi szabad pénzmaradvány igénybe vétele működésre</t>
  </si>
  <si>
    <t>Előző évi szabad pénzmaradvány igénybe vétele felhalmozásra</t>
  </si>
  <si>
    <t>Hosszú lejáratú hitel felvétele</t>
  </si>
  <si>
    <t xml:space="preserve"> - egyéb működési célú kiadások ÁH belül</t>
  </si>
  <si>
    <t xml:space="preserve"> - egyéb működési célú kiadások ÁH kívül</t>
  </si>
  <si>
    <t>13. sz.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</si>
  <si>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</si>
  <si>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</si>
  <si>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</si>
  <si>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</si>
  <si>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</si>
  <si>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</si>
  <si>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</si>
  <si>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</si>
  <si>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</si>
  <si>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</si>
  <si>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</si>
  <si>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</si>
  <si>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</si>
  <si>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Közvetett támogatás jogcíme</t>
  </si>
  <si>
    <t>Elengedés, kedvezmény jogalapja</t>
  </si>
  <si>
    <t>Mentesség</t>
  </si>
  <si>
    <t>Kedvezmény</t>
  </si>
  <si>
    <t>Ellátottak térítési díjához önkormányzati hozzájárulás</t>
  </si>
  <si>
    <t xml:space="preserve">Helyi adónál biztosított kedvezmény, mentesség </t>
  </si>
  <si>
    <t>- építményadó</t>
  </si>
  <si>
    <t>55/2011.(XII.21.) Önk.rendelet</t>
  </si>
  <si>
    <t>a., 25 év alatti nappali tagozaton tanuló</t>
  </si>
  <si>
    <t>b., nyugdíjas kedvezmény</t>
  </si>
  <si>
    <t>c., nem lakás célú kedvezmény</t>
  </si>
  <si>
    <t xml:space="preserve">- telekadó </t>
  </si>
  <si>
    <t>56/2011.(XII.21.) Önk.rendelet</t>
  </si>
  <si>
    <t>Bevétel jogcíme</t>
  </si>
  <si>
    <t xml:space="preserve"> - egyéb felhalmozási célú kiadások ÁH belülre</t>
  </si>
  <si>
    <t xml:space="preserve"> - egyéb felhalmozási célú kiadások ÁH kívülre</t>
  </si>
  <si>
    <t>Egyéb működési célú támogatások ÁH belülről</t>
  </si>
  <si>
    <t xml:space="preserve">Működési célú átvett pénzeszközök  </t>
  </si>
  <si>
    <t>1.sz. melléklet</t>
  </si>
  <si>
    <t>(adatok forintban)</t>
  </si>
  <si>
    <t>Bölcsődei üzemeltetési támogatás</t>
  </si>
  <si>
    <t>Fővárosi Katasztrófavédelmi Igazgatóság Észak-pesti Katasztrófavédelmi Kirendeltség</t>
  </si>
  <si>
    <t>Keresztény Értelmiségiek Szövetsége</t>
  </si>
  <si>
    <t>Dunakeszi Városi Vegyeskar</t>
  </si>
  <si>
    <t>Térfigyelő kamerák telepítése</t>
  </si>
  <si>
    <t>Közvilágítás fejlesztése</t>
  </si>
  <si>
    <t>Parkfelújítások</t>
  </si>
  <si>
    <t>Parkoló felújítások</t>
  </si>
  <si>
    <t xml:space="preserve">Dunakeszi sportingatlan fejlesztések Tao önrész </t>
  </si>
  <si>
    <t xml:space="preserve">' 081071    </t>
  </si>
  <si>
    <t xml:space="preserve">Üdülői szálláshely-szolgáltatás és étkeztetés               </t>
  </si>
  <si>
    <t>B</t>
  </si>
  <si>
    <t>Ingatlanért életjáradék program</t>
  </si>
  <si>
    <t xml:space="preserve">   - Óvodai és Iskolai Szociális Segítő Szakmai Egység</t>
  </si>
  <si>
    <t xml:space="preserve">Helytörténeti Gyűjtemény </t>
  </si>
  <si>
    <t xml:space="preserve">Vízelvezetés javítása, árkok építése </t>
  </si>
  <si>
    <t xml:space="preserve">Járdafelújítások </t>
  </si>
  <si>
    <t xml:space="preserve">   - alpolgármester társadalmi megbizatású</t>
  </si>
  <si>
    <t xml:space="preserve">   - Szásszorszép Bölcsődei Tph.</t>
  </si>
  <si>
    <t xml:space="preserve">   - Csillagszem Bölcsődei Tph.</t>
  </si>
  <si>
    <t xml:space="preserve">   - Napsugár Bölcsődei Tph.</t>
  </si>
  <si>
    <t>Helyi önkormányzatok működési támogatása</t>
  </si>
  <si>
    <t>Települési önkormányzatok kulturális feladatainak támogatása</t>
  </si>
  <si>
    <t xml:space="preserve">Felhalmozási célú önkormányzati támogatások </t>
  </si>
  <si>
    <t>B351</t>
  </si>
  <si>
    <t>B405</t>
  </si>
  <si>
    <t>Ellátási díjak</t>
  </si>
  <si>
    <t>B407</t>
  </si>
  <si>
    <t>ÁFA visszatérítése</t>
  </si>
  <si>
    <t>B51</t>
  </si>
  <si>
    <t>B66</t>
  </si>
  <si>
    <t>B812</t>
  </si>
  <si>
    <t>B115</t>
  </si>
  <si>
    <t>Működési célú költségvetési támogatások és kiegészítő támogatások</t>
  </si>
  <si>
    <t>B116</t>
  </si>
  <si>
    <t>Elszámolásból származó bevételek</t>
  </si>
  <si>
    <t>B401</t>
  </si>
  <si>
    <t>Készletértékesítés ellenértéke</t>
  </si>
  <si>
    <t>B411</t>
  </si>
  <si>
    <t>Egyéb működési bevételek</t>
  </si>
  <si>
    <t xml:space="preserve">Egyéb közhatalmi bevételek </t>
  </si>
  <si>
    <t>Működési célú átvett pénzeszközök ÁH-n belül</t>
  </si>
  <si>
    <t>072210</t>
  </si>
  <si>
    <t>Közvetített szolgáltatások</t>
  </si>
  <si>
    <t>Működési célú átvett pénzeszköz ÁH-n belül</t>
  </si>
  <si>
    <t>Működési célú átvett pénzeszköz ÁH-n kívül</t>
  </si>
  <si>
    <t>041140</t>
  </si>
  <si>
    <t>Területfejlesztés igazgatása</t>
  </si>
  <si>
    <t xml:space="preserve">Ellátási díjak </t>
  </si>
  <si>
    <t>Szakorvosi Rendelőintézet fejlesztése -Egészséges Budapest Program I-II. ütem</t>
  </si>
  <si>
    <t xml:space="preserve">Otthon Segítünk Alapítvány </t>
  </si>
  <si>
    <t>Peter Cerny Alapítvány a Beteg Koraszülöttek Gyógyításáért</t>
  </si>
  <si>
    <t>Dorombollak Macskamentő Alapítvány</t>
  </si>
  <si>
    <t>Dunakeszi Teátrum (Duna Színház Nonprofit Kulturális Kft.)</t>
  </si>
  <si>
    <t>Finanszírozási célú pénzügyi műveletek bevételei (állampapír beváltás)</t>
  </si>
  <si>
    <t>Gimnázium és szakképző iskola tanulóinak közismereti és szakmai elméleti oktatásával összefüggő működtetési feladatok</t>
  </si>
  <si>
    <t>Szabadidős park, fürdő és strandszolgáltatás</t>
  </si>
  <si>
    <t>Helyi védett épületek felújítási támogatása (rendelet szerint)</t>
  </si>
  <si>
    <t>047120</t>
  </si>
  <si>
    <t>Piac üzemeltetése</t>
  </si>
  <si>
    <t>5/2015.(II.27.) Önk. Rendelet</t>
  </si>
  <si>
    <t>Pályázat kódja</t>
  </si>
  <si>
    <t>Pályázat címe</t>
  </si>
  <si>
    <t>Pályázat rövid tartalma (ha a címből nem egyértelmű)</t>
  </si>
  <si>
    <t>TSZ/TO szerinti összköltség (hatályos)</t>
  </si>
  <si>
    <t>TSZ/TO szerinti támogatás (hatályos)</t>
  </si>
  <si>
    <t>Kezdő dátum (hatályos)</t>
  </si>
  <si>
    <t>Záró dátum (hatályos)</t>
  </si>
  <si>
    <t>Záró elszámolás határideje</t>
  </si>
  <si>
    <t>Módosításban kért, de még nem jóváhagyott záró dátum</t>
  </si>
  <si>
    <t>PM_ONKORMUT_2018/115</t>
  </si>
  <si>
    <t>Hunyadi utca és a Határ út felújítása</t>
  </si>
  <si>
    <t>nr</t>
  </si>
  <si>
    <t>PM_KEREKPARUT_2018/25</t>
  </si>
  <si>
    <t>PM_PIAC_2018/28</t>
  </si>
  <si>
    <t>Dunakeszi városi piac kialakítása a 062/1 és 062/2 hrsz-on</t>
  </si>
  <si>
    <t>PM_CSAPVÍZGAZD_2018/6</t>
  </si>
  <si>
    <t>LVF/13997/2019-ITM</t>
  </si>
  <si>
    <t xml:space="preserve">Kompok, révek fenntartásának, felújításának támogatása </t>
  </si>
  <si>
    <t>Kubinyi Ágoston Program 2019</t>
  </si>
  <si>
    <t>Látványraktár kiállítószekrény beszerzése</t>
  </si>
  <si>
    <t>Közművelődési érdekeltségnövelő támogatás 2019.</t>
  </si>
  <si>
    <t>VOKE JAMK beszerzések</t>
  </si>
  <si>
    <t>Egészséges Budapest I. ütem</t>
  </si>
  <si>
    <t>Egészséges Budapest II. ütem</t>
  </si>
  <si>
    <t>SZTK felújítása és Pszichiátria építése</t>
  </si>
  <si>
    <t>KFE-00071-6/2020</t>
  </si>
  <si>
    <t>A Dunakeszi Duna Szabadstrand fejlesztése</t>
  </si>
  <si>
    <t>Új komplex vizesblokk (családi WC-vel, baba-mama szobával); Öltözőkabinok; Tájékoztató eszközök;</t>
  </si>
  <si>
    <t>A Tóváros és Toldi lakópark csapadékvíz elvezetése (Tisza utcától Kolozsvár,
Kossuth Lajoson át Eszterházy Pál, Huszka Jenő, 7502/81 hrsz)</t>
  </si>
  <si>
    <t xml:space="preserve">Saját forrás
</t>
  </si>
  <si>
    <t>011130</t>
  </si>
  <si>
    <t>013320</t>
  </si>
  <si>
    <t>016080</t>
  </si>
  <si>
    <t>031030</t>
  </si>
  <si>
    <t>041233</t>
  </si>
  <si>
    <t>Hosszabb időtartamú közfoglalkoztatás</t>
  </si>
  <si>
    <t>Út, autópálya építése</t>
  </si>
  <si>
    <t>045160</t>
  </si>
  <si>
    <t>047410</t>
  </si>
  <si>
    <t>Ár- és belvízvédelemmel  összefüggő tevékenységek</t>
  </si>
  <si>
    <t>051040</t>
  </si>
  <si>
    <t>Nem veszélyes hulladék kezelése, ártalmatlanítása</t>
  </si>
  <si>
    <t>052020</t>
  </si>
  <si>
    <t>062010</t>
  </si>
  <si>
    <t>064010</t>
  </si>
  <si>
    <t>066010</t>
  </si>
  <si>
    <t>066020</t>
  </si>
  <si>
    <t>072111</t>
  </si>
  <si>
    <t>072112</t>
  </si>
  <si>
    <t>072311</t>
  </si>
  <si>
    <t>082092</t>
  </si>
  <si>
    <t>091140</t>
  </si>
  <si>
    <t>081041</t>
  </si>
  <si>
    <t>081043</t>
  </si>
  <si>
    <t>081045</t>
  </si>
  <si>
    <t>081071</t>
  </si>
  <si>
    <t>Üdülői szálláshely- szolgáltatás és étkeztetés</t>
  </si>
  <si>
    <t>082044</t>
  </si>
  <si>
    <t>084031</t>
  </si>
  <si>
    <t>084032</t>
  </si>
  <si>
    <t>084040</t>
  </si>
  <si>
    <t>086030</t>
  </si>
  <si>
    <t>Óvodai nevelés, ellátás működtetési feladatai</t>
  </si>
  <si>
    <t>091220</t>
  </si>
  <si>
    <t>Köznevelési intézményben tanulók 1-4.évf. oktatási működtetési feladatok</t>
  </si>
  <si>
    <t>091250</t>
  </si>
  <si>
    <t>Alapfokú művészetoktatással összefüggő működtetési feladatok</t>
  </si>
  <si>
    <t>092120</t>
  </si>
  <si>
    <t>Köznevelési intézményben tanulók 5-8.évf. oktatási működtetési feladatok</t>
  </si>
  <si>
    <t>092260</t>
  </si>
  <si>
    <t>081061</t>
  </si>
  <si>
    <t>098022</t>
  </si>
  <si>
    <t>Pedagógiai szakszolgáltató tevékenység működtetési feladatai</t>
  </si>
  <si>
    <t>Támogatási célú finanszírozási műveletek</t>
  </si>
  <si>
    <t>Parkoló, üzemeltetése, fenntartása</t>
  </si>
  <si>
    <t>101141</t>
  </si>
  <si>
    <t>Pszichiátriai betegek nappali ellátása</t>
  </si>
  <si>
    <t>K</t>
  </si>
  <si>
    <t>Ö</t>
  </si>
  <si>
    <t>Működési tartalék</t>
  </si>
  <si>
    <t xml:space="preserve"> Személyi juttatások </t>
  </si>
  <si>
    <t xml:space="preserve"> Dologi  kiadások összesen  </t>
  </si>
  <si>
    <t xml:space="preserve">Ellátottak pénzbeli juttatásai </t>
  </si>
  <si>
    <t>Kiadási előirányzat-csoport megnevezése</t>
  </si>
  <si>
    <t>Bevételi előirányzat-csoport megnevezése</t>
  </si>
  <si>
    <t>Működési költségvetési kiadások  összesen</t>
  </si>
  <si>
    <t>Működési költségvetési bevételek összesen</t>
  </si>
  <si>
    <t>Felhalmozási költségvetési kiadások összesen</t>
  </si>
  <si>
    <t>Felhalmozási költségvetési bevételek összesen</t>
  </si>
  <si>
    <t>Költségvetési kiadások összesen (I.+II.)</t>
  </si>
  <si>
    <t>Költségvetési bevételek összesen ( I.+II.)</t>
  </si>
  <si>
    <t>Kiadások összesen (III.+ IV.+V.)</t>
  </si>
  <si>
    <t>Bevételek összesen (III.+IV.+V.+VI.)</t>
  </si>
  <si>
    <t>Dunakeszi Város Önkormányzat</t>
  </si>
  <si>
    <t>Kiadás jogcíme</t>
  </si>
  <si>
    <t>Rovatrend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</si>
  <si>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</si>
  <si>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</si>
  <si>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</si>
  <si>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</si>
  <si>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</si>
  <si>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</si>
  <si>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</si>
  <si>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</si>
  <si>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</si>
  <si>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2.sz. melléklet</t>
  </si>
  <si>
    <t>Munkaadókat terhelő járulékok, szociális hozzájárulási adó</t>
  </si>
  <si>
    <t>Működési tartalékok</t>
  </si>
  <si>
    <t>Iparűzési adó</t>
  </si>
  <si>
    <t xml:space="preserve"> 5.1</t>
  </si>
  <si>
    <t xml:space="preserve"> 5.2</t>
  </si>
  <si>
    <t xml:space="preserve"> 5.3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</si>
  <si>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</si>
  <si>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</si>
  <si>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</si>
  <si>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</si>
  <si>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</si>
  <si>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7.1</t>
  </si>
  <si>
    <t xml:space="preserve"> 7.2</t>
  </si>
  <si>
    <t xml:space="preserve"> 8.1</t>
  </si>
  <si>
    <t xml:space="preserve"> 8.2</t>
  </si>
  <si>
    <t>KÖLTSÉGVETÉSI KIADÁSOK ÖSSZESEN</t>
  </si>
  <si>
    <t>KÖLTSÉGVETÉSI BEVÉTELEK ÖSSZESEN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</si>
  <si>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</si>
  <si>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</si>
  <si>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</si>
  <si>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</si>
  <si>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</si>
  <si>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</si>
  <si>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</si>
  <si>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2.2</t>
  </si>
  <si>
    <t xml:space="preserve"> 2.3</t>
  </si>
  <si>
    <t xml:space="preserve"> 3.1</t>
  </si>
  <si>
    <t>3.2</t>
  </si>
  <si>
    <t xml:space="preserve"> 3.3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</si>
  <si>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</si>
  <si>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</si>
  <si>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</si>
  <si>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</si>
  <si>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</si>
  <si>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</si>
  <si>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</si>
  <si>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</si>
  <si>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</si>
  <si>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</si>
  <si>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Önkormányzati hivatal működésének támogatása </t>
  </si>
  <si>
    <t>4.sz. melléklet</t>
  </si>
  <si>
    <t>Összeg
(Ft)</t>
  </si>
  <si>
    <t>Személyi juttatás</t>
  </si>
  <si>
    <t>Munkaadókat terhelő adók, járulékok</t>
  </si>
  <si>
    <t>Ellátottek pénzbeli juttatása</t>
  </si>
  <si>
    <t>Működési célú pénzeszköz átadás ÁH belülre</t>
  </si>
  <si>
    <t>Működési célú pénzeszköz átadás ÁH kívülre</t>
  </si>
  <si>
    <t>Felhalmozási célú pénzeszköz átadás ÁH belül</t>
  </si>
  <si>
    <t>Felhalmozási célú pénzeszköz átadás ÁH kívül</t>
  </si>
  <si>
    <t xml:space="preserve">Az Önkormányzat irányítása alá tartozó költségvetési szervek kötelező feladatai </t>
  </si>
  <si>
    <t xml:space="preserve">Az Önkormányzat irányítása alá tartozó költségvetési szervek önként vállalt  feladatai </t>
  </si>
  <si>
    <t>Önként vállalt feladatok</t>
  </si>
  <si>
    <t>Kötelező feladatok összesen</t>
  </si>
  <si>
    <t>Önként vállalt feladatok összesen</t>
  </si>
  <si>
    <t>ÁFA visszatérítés</t>
  </si>
  <si>
    <t>Kamat</t>
  </si>
  <si>
    <t>Felhalmozási célú átvett pénzeszköz</t>
  </si>
  <si>
    <t>Költségvetési szerv megnevezése</t>
  </si>
  <si>
    <t>Kiadások összesen</t>
  </si>
  <si>
    <t>Munkaadókat terhelő járulékok, adók</t>
  </si>
  <si>
    <t>Működési célú pénzeszközátadások</t>
  </si>
  <si>
    <t>ÖSSZESEN</t>
  </si>
  <si>
    <t>Költsgévetési szerv megnevezése</t>
  </si>
  <si>
    <t>9.sz. melléklet</t>
  </si>
  <si>
    <t>Pénzeszközátadások, támogatások az Önkormányzat 2021. évi  költségvetésében</t>
  </si>
  <si>
    <t>MŰKÖDÉSI TÁMOGATÁSOK ÖSSZESEN</t>
  </si>
  <si>
    <t>FELHALMOZÁSI TÁMOGATÁSOK ÖSSZESEN</t>
  </si>
  <si>
    <t>Működési támogatások</t>
  </si>
  <si>
    <t>PÉNZESZKÖZÁTADÁSOK, TÁMOGATÁSOK ÖSSZESEN</t>
  </si>
  <si>
    <t>Magyarország 2021.évi központi költségvetéséről szóló 2020.évi XC.törvény 2. számú melléklete alapján a helyi önkormányzatok általános működésének és ágazati feladatainak támogatása</t>
  </si>
  <si>
    <t>2.sz. melléklet összesen</t>
  </si>
  <si>
    <t>Magyarország 2021.évi központi költségvetéséről szóló 2020.évi XC.törvény 3. számú melléklete alapján nyújtott kiegészítő támogatások</t>
  </si>
  <si>
    <t>KÖZPONTI KÖLTSÉGVETÉSBŐL SZÁRMAZÓ TÁMOGATÁSOK ÖSSZESEN</t>
  </si>
  <si>
    <t>10.sz. melléklet</t>
  </si>
  <si>
    <t>Sorszám</t>
  </si>
  <si>
    <t>2021. évi terv</t>
  </si>
  <si>
    <t>MŰKÖDÉSI TARTALÉK</t>
  </si>
  <si>
    <t>FELHALMOZÁSI TARTALÉK</t>
  </si>
  <si>
    <t>12. melléklet</t>
  </si>
  <si>
    <t>Létszámelőirányzatok 2021. év</t>
  </si>
  <si>
    <t>( Adatok forintban )</t>
  </si>
  <si>
    <t xml:space="preserve">  (adatok forintban)</t>
  </si>
  <si>
    <t xml:space="preserve">Bevételek összesen: </t>
  </si>
  <si>
    <t>Saját bevételek</t>
  </si>
  <si>
    <t>Átvett pénzeszközök</t>
  </si>
  <si>
    <t xml:space="preserve">Maradvány </t>
  </si>
  <si>
    <t>Állampapír beváltása</t>
  </si>
  <si>
    <t xml:space="preserve">Tartalék  </t>
  </si>
  <si>
    <t>Kiadások összesen:</t>
  </si>
  <si>
    <t>14.sz. melléklet</t>
  </si>
  <si>
    <t>Közvetett támogatások az Önkormányzat költségvetésében 2021.év</t>
  </si>
  <si>
    <t>(Adatok forintban)</t>
  </si>
  <si>
    <t>15.sz. melléklet</t>
  </si>
  <si>
    <t>16.sz. melléklet</t>
  </si>
  <si>
    <t xml:space="preserve">beruházási terv, tervezési program,részletes megvalósíthatósági tanulmány </t>
  </si>
  <si>
    <r>
      <t xml:space="preserve">ITM alap- és középfokú oktatási intézmények és kulturális központ beruházás </t>
    </r>
    <r>
      <rPr>
        <b/>
        <sz val="11"/>
        <color indexed="8"/>
        <rFont val="Times New Roman"/>
        <family val="1"/>
      </rPr>
      <t xml:space="preserve">előkészítése I. ütem
</t>
    </r>
  </si>
  <si>
    <t>KÖLTSÉGVETÉSI SZERVEK</t>
  </si>
  <si>
    <t>POLGÁRMESTERI HIVATAL</t>
  </si>
  <si>
    <t xml:space="preserve">2021. évi  előirányzat                             </t>
  </si>
  <si>
    <t xml:space="preserve">Dunakeszi Művészetéért  Alapítvány </t>
  </si>
  <si>
    <t xml:space="preserve"> -DÓHSZK Óvodák</t>
  </si>
  <si>
    <t xml:space="preserve"> -DÓHSZK Kölcsey Ferenc Városi Könyvtár</t>
  </si>
  <si>
    <t xml:space="preserve"> -DÓHSZK Család és Gyermekjóléti Központ</t>
  </si>
  <si>
    <t xml:space="preserve"> -DÓHSZK Bölcsődék</t>
  </si>
  <si>
    <t>032020</t>
  </si>
  <si>
    <t>Tűz és katasztrófavédelmi tevékenységek</t>
  </si>
  <si>
    <t>2021.évi költségvetés kiadási előirányzatai feladatonként</t>
  </si>
  <si>
    <t>Alagi Diák Sakk Klub</t>
  </si>
  <si>
    <t>Gyémánt Lótusz SE</t>
  </si>
  <si>
    <t>Bujutsu Kai</t>
  </si>
  <si>
    <t>Capuera</t>
  </si>
  <si>
    <t>ZöldEb Kutyás Érdekvédelmi Egyesület</t>
  </si>
  <si>
    <t>Óvodai és iskolai szociális segítéshez kapcsolódó támogatás</t>
  </si>
  <si>
    <t xml:space="preserve"> 2.2.3</t>
  </si>
  <si>
    <t>1.1.1.1</t>
  </si>
  <si>
    <t>1.1.1.2</t>
  </si>
  <si>
    <t>Településüzemeltetés - zöldterület gazdálkodás támogatása</t>
  </si>
  <si>
    <t>1.1.1.3</t>
  </si>
  <si>
    <t>Településüzemeltetés - közvilágítás  támogatása</t>
  </si>
  <si>
    <t>1.1.1.4</t>
  </si>
  <si>
    <t>1.1.1.5</t>
  </si>
  <si>
    <t>1.1.1.6</t>
  </si>
  <si>
    <t>1.1.1.7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</si>
  <si>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</si>
  <si>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</si>
  <si>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</si>
  <si>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</si>
  <si>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 xml:space="preserve"> 1.2.1</t>
  </si>
  <si>
    <t xml:space="preserve"> 1.2.2</t>
  </si>
  <si>
    <t>Óvodapedagógusok átlagbér alapú támogatása</t>
  </si>
  <si>
    <t xml:space="preserve"> 1.2.3</t>
  </si>
  <si>
    <t xml:space="preserve"> 1.2.5</t>
  </si>
  <si>
    <t>Pedagógusok nevelő munkáját közvetlenül segítők átlagbéralapú támogatása</t>
  </si>
  <si>
    <t xml:space="preserve"> 1.3.3</t>
  </si>
  <si>
    <t xml:space="preserve">Települési önkormányzatok szociális és gyermekjóléti  feladatainak támogatása </t>
  </si>
  <si>
    <t xml:space="preserve"> 1.3.3.1</t>
  </si>
  <si>
    <t xml:space="preserve"> 1.3.3.2</t>
  </si>
  <si>
    <t xml:space="preserve"> 1.3.2</t>
  </si>
  <si>
    <t xml:space="preserve"> 1.3.2.1</t>
  </si>
  <si>
    <t xml:space="preserve"> 1.3.2.2</t>
  </si>
  <si>
    <t xml:space="preserve"> 1.4.1.1</t>
  </si>
  <si>
    <t>Intézményi gyermekétkeztetés - bértámogatás</t>
  </si>
  <si>
    <t xml:space="preserve"> 1.4.1.2</t>
  </si>
  <si>
    <t xml:space="preserve"> 1.4.2</t>
  </si>
  <si>
    <t>Szünidei étkeztetésének támogatása</t>
  </si>
  <si>
    <t xml:space="preserve"> 1.5.2</t>
  </si>
  <si>
    <t>Települési önk. szociális és gyermekjóléti feladatok támogatása</t>
  </si>
  <si>
    <t xml:space="preserve"> 1.8</t>
  </si>
  <si>
    <t>B1131</t>
  </si>
  <si>
    <t>B1132</t>
  </si>
  <si>
    <t>2021. évi költségvetésének bevételi előirányzatai</t>
  </si>
  <si>
    <t xml:space="preserve">2021. évi előirányzat </t>
  </si>
  <si>
    <t>Települési önkormányzatok gyermekétkeztetési feladatainak támogatása</t>
  </si>
  <si>
    <t>2021. évi költségvetés bevételi előirányzatai feladatonként</t>
  </si>
  <si>
    <t>Egyéb működési célú támogatások bevételei ÁH belülről</t>
  </si>
  <si>
    <t xml:space="preserve">Az Önkormányzat irányítása alá tartozó költségvetési szervek 2021. évi bevételi előirányzatai </t>
  </si>
  <si>
    <t>B54</t>
  </si>
  <si>
    <t>Részesedések értékesítése</t>
  </si>
  <si>
    <t>Révész István Helytörténeti Gyűjtemény</t>
  </si>
  <si>
    <t xml:space="preserve"> Az Önkormányzat irányítása alá tartozó költségvetési szervek 2021. évi kiadási előirányzatai</t>
  </si>
  <si>
    <t>Aranyalma Tagóvoda</t>
  </si>
  <si>
    <t>Kerekerdő Tagóvoda</t>
  </si>
  <si>
    <t>Engedélyezett álláshelyek száma                                                          2021. január 1-én [db]</t>
  </si>
  <si>
    <t>Tényleges állományi létszám                                                              2021. január 1-én [fő]</t>
  </si>
  <si>
    <t xml:space="preserve">   - egyéb foglalkoztatottak</t>
  </si>
  <si>
    <t>Pályázatok 2021.év</t>
  </si>
  <si>
    <t>Kerékpárút létesítése Dunakeszi Repülőtéri út (Szent István Általános Iskola) - Határ út nyomvonalon</t>
  </si>
  <si>
    <t>módosítás alatt</t>
  </si>
  <si>
    <t>Önkormányzati feladatellátást szolgáló fejlesztések 2019</t>
  </si>
  <si>
    <t xml:space="preserve"> Széchenyi utca útburkolat csere</t>
  </si>
  <si>
    <t>SZTK felújítás keretében: Új lift beszerzése; Bontási munkálatok; Előtető, útépítés; RTG berendezés beszerzése.</t>
  </si>
  <si>
    <r>
      <t xml:space="preserve">ITM alap- és középfokú oktatási intézmények és kulturális központ beruházás </t>
    </r>
    <r>
      <rPr>
        <b/>
        <sz val="11"/>
        <color indexed="8"/>
        <rFont val="Calibri"/>
        <family val="2"/>
      </rPr>
      <t>előkészítése II. ütem</t>
    </r>
  </si>
  <si>
    <t xml:space="preserve">1. vázlatterv II. ütem,
2. helyszínvizsgálatok (geodézia, talajmechanika),
3. talajvédelmi terv,
4. előzetes vizsgálati dokumentáció (EVD),
5. előzetes régészeti dokumentáció (ERD),
6. településrendezési eszközök felülvizsgálata
7. engedélyezési dokumentáció,
8. kivitelezési dokumentáció.
</t>
  </si>
  <si>
    <t>WiFi4EU 2019.</t>
  </si>
  <si>
    <t>Testvér-települési programok és együttműködések támogatására</t>
  </si>
  <si>
    <t>Közös múltunk 30. éve</t>
  </si>
  <si>
    <t>A2023/N6808</t>
  </si>
  <si>
    <t>NKA Dunakeszi Feszt 2021.</t>
  </si>
  <si>
    <t>Önkormányzati feladatellátást szolgáló fejlesztések támogatása 2020</t>
  </si>
  <si>
    <t>Kiserdő utca útburkolat javítása</t>
  </si>
  <si>
    <t>Kubinyi Ágoston Program 2020.</t>
  </si>
  <si>
    <t>RIHGY</t>
  </si>
  <si>
    <t>na</t>
  </si>
  <si>
    <t>Közművelődési érdekeltségnövelő támogatás 2020.</t>
  </si>
  <si>
    <t>VOKE JAMK fejlesztése</t>
  </si>
  <si>
    <t>Illegális Hulladéklerakók felszámolása 2020</t>
  </si>
  <si>
    <t>Elvonások, befizetések</t>
  </si>
  <si>
    <t>018020</t>
  </si>
  <si>
    <t>Központi költségvetési befizetések</t>
  </si>
  <si>
    <t>Pálya utca átépítés + lámpásítás</t>
  </si>
  <si>
    <t>Sétány - Dunasor szélesítés</t>
  </si>
  <si>
    <t>Határ út átépítése</t>
  </si>
  <si>
    <t>Járdaépítések (Kincsem u. déli oldala, Szép Ernő u., )</t>
  </si>
  <si>
    <t>Dunai szabadstrand fejlesztése III.</t>
  </si>
  <si>
    <t>Dunai szabadstrand fejlesztése IV. (pályázat saját forrás)</t>
  </si>
  <si>
    <t>Városi piac kialakítása</t>
  </si>
  <si>
    <t>Szakorvosi rendelőintézet környezetének rendezése</t>
  </si>
  <si>
    <t>Dunakeszi 0160/1. hrsz. Erdősítés</t>
  </si>
  <si>
    <t>Vis Maior helyreállítások</t>
  </si>
  <si>
    <t>Harcművészeti Központ energetikai korszerűsítés</t>
  </si>
  <si>
    <t>Barátság útja 29. orvosi rendelő felújítás</t>
  </si>
  <si>
    <t>Felújítási előirányzatok összesen</t>
  </si>
  <si>
    <t xml:space="preserve"> 2021. évi fejlesztések, felújítások előirányzatai</t>
  </si>
  <si>
    <t xml:space="preserve">2021.évi előirányzat </t>
  </si>
  <si>
    <t>Nyíltvízi Evezős Központ eszközbeszerzések</t>
  </si>
  <si>
    <t>Útfelújítás Kiserdő utca</t>
  </si>
  <si>
    <t xml:space="preserve">    - közfoglalkoztatottak</t>
  </si>
  <si>
    <t>042220</t>
  </si>
  <si>
    <t>Erdőgazdálkodás</t>
  </si>
  <si>
    <t>082063</t>
  </si>
  <si>
    <t>Múzeumi  kiállítási tevékenység</t>
  </si>
  <si>
    <t>104031</t>
  </si>
  <si>
    <t>Önkormányzatok elszámolásai a központi költségvetéssel</t>
  </si>
  <si>
    <t>074040</t>
  </si>
  <si>
    <t>Fertőző megbetegedések megelőzése, járványügyi ellátás</t>
  </si>
  <si>
    <t>104043</t>
  </si>
  <si>
    <t xml:space="preserve"> 2021. évi előirányzat - felhasználási ütemterv </t>
  </si>
  <si>
    <t>041110</t>
  </si>
  <si>
    <t>Általános gazdasági és kereskedelmi ügyek igazgatása</t>
  </si>
  <si>
    <t>086010</t>
  </si>
  <si>
    <t>Határon túli magyarok egyéb támogatásai</t>
  </si>
  <si>
    <t>Céltartalékok állománya 2021.év</t>
  </si>
  <si>
    <t>Általános tartalék 2021.év</t>
  </si>
  <si>
    <t>K65</t>
  </si>
  <si>
    <t xml:space="preserve"> 6.6</t>
  </si>
  <si>
    <t>Részesedések vásárlása</t>
  </si>
  <si>
    <t>2021. évi költségvetésének kiadási előirányzatai</t>
  </si>
  <si>
    <t>K502</t>
  </si>
  <si>
    <t>Egyéb elvonások, befizetések</t>
  </si>
  <si>
    <t>5.1</t>
  </si>
  <si>
    <t xml:space="preserve"> 5.4</t>
  </si>
  <si>
    <r>
      <t xml:space="preserve">Feladat jellege </t>
    </r>
    <r>
      <rPr>
        <b/>
        <sz val="8"/>
        <rFont val="Times New Roman"/>
        <family val="1"/>
      </rPr>
      <t>Kötelező (K) Önként vállalt (Ö)</t>
    </r>
  </si>
  <si>
    <t>CÉLTARTALÉKOK ÖSSZESEN</t>
  </si>
  <si>
    <t>Karinthy, Hunyadi, Tábor u. hiányzó szakasz építése</t>
  </si>
  <si>
    <t xml:space="preserve">Gyalogátkelőhely létesítések </t>
  </si>
  <si>
    <t>Könyves Kálmán u. P+R parkoló építés</t>
  </si>
  <si>
    <t>Liget u. járda és parkoló építés</t>
  </si>
  <si>
    <t>Játszóterek építése - Kőrösi park, Malomárok</t>
  </si>
  <si>
    <t>Parkok - egyéb kisértékű tárgyi eszközök beszerzése</t>
  </si>
  <si>
    <t>Kerékpárút létesítése (2.sz.főút mentén, Óvoda köz) tervdokumentáció</t>
  </si>
  <si>
    <t>Fóti út, Verseny u., Repülőtéri út, Határ út csapadékvíz elvezetés</t>
  </si>
  <si>
    <t>Tóváros és Toldi lakópark csapadékvíz elvezetése</t>
  </si>
  <si>
    <t xml:space="preserve">Tervezések engedélyeztetések </t>
  </si>
  <si>
    <t>Barátság útja 29. orvosi rendelő egyéb tárgyi eszközök beszerzése</t>
  </si>
  <si>
    <t>Önkormányzati egyéb vagyonnal való gazdálkodás</t>
  </si>
  <si>
    <t>Alagligeti bölcsőde bővítés (terv, közbeszerzés)</t>
  </si>
  <si>
    <t>Új bölcsőde gázvezeték kiépítése</t>
  </si>
  <si>
    <t>ITM alap-és középfokú oktatási intézmények és kulturális központ beruházás előkészítése</t>
  </si>
  <si>
    <t>Sport Kft. részesedés vásárlás</t>
  </si>
  <si>
    <t>Sport Kft.  törzstőke emelés</t>
  </si>
  <si>
    <t>Faültetések (1000 fa)</t>
  </si>
  <si>
    <t>Mikro közterület fejlesztések, házasságkötővel együtt</t>
  </si>
  <si>
    <t xml:space="preserve">Fejlesztési  előirányzatok összesen </t>
  </si>
  <si>
    <t>Központi költségvetésből nyújtott támogatás</t>
  </si>
  <si>
    <t>Támogatásértékű kiadások, pénzeszközátadások</t>
  </si>
  <si>
    <t xml:space="preserve">Beruházási kiadások </t>
  </si>
  <si>
    <t>Dunakeszi Város Önkormányzat 2021. évi költségvetési mérlege</t>
  </si>
  <si>
    <t>2021. évi  előirányzat</t>
  </si>
  <si>
    <t>2021. évi előirányzat</t>
  </si>
  <si>
    <t xml:space="preserve"> - egyéb elvonások befizetések</t>
  </si>
  <si>
    <t>Államháztartáson belüli megelőlegezések visszafizetése</t>
  </si>
  <si>
    <t>MŰKÖDÉSI KÖLTSÉGVETÉSI EGYENLEG</t>
  </si>
  <si>
    <t>FELHALMOZÁSI KÖLTSÉGVETÉSI EGYENLEG</t>
  </si>
  <si>
    <t>KÖLTSÉGVETÉSI EGYENLEG</t>
  </si>
  <si>
    <t>Ft</t>
  </si>
  <si>
    <t>Bevételek és kiadások 2022.év, 2023.év, 2024.év</t>
  </si>
  <si>
    <t>2022 évi előirányzat terv</t>
  </si>
  <si>
    <t>2023. évi előirányzat terv</t>
  </si>
  <si>
    <t>2024. évi előirányzat terv</t>
  </si>
  <si>
    <t>Klapka  u., Sólyom u. engedélyezési terv</t>
  </si>
  <si>
    <t>Parkoló építések -  Katonadomb, Szakáll Ferenc u., Magyarság Sportpálya</t>
  </si>
  <si>
    <t>Fóti út mellett (055/42. hrsz.) parkoló építés és csapadékvíz elvezetés</t>
  </si>
  <si>
    <t xml:space="preserve">Katonadomb stabilizált út, sorompók, árkok építése </t>
  </si>
  <si>
    <t>Kubinyi Ágoston Program 2020. - Helytörténeti Gyűjtemény</t>
  </si>
  <si>
    <t>Informatikai eszközök és egyéb tárgyi eszközök  beszerzései</t>
  </si>
  <si>
    <t>Határ út,  kerékpárút fásítás</t>
  </si>
  <si>
    <t xml:space="preserve">Személyi juttatások </t>
  </si>
  <si>
    <t xml:space="preserve">Dologi  kiadások összesen </t>
  </si>
  <si>
    <t>Dunakeszi Óvodásokért Alapítvány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</si>
</sst>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(* #,##0_);_(* \(#,##0\);_(* \-??_);_(@_)"/>
    <numFmt numFmtId="168" formatCode="#,##0.000"/>
    <numFmt numFmtId="169" formatCode="[$-40E]General"/>
    <numFmt numFmtId="170" formatCode="[$-40E]#,##0"/>
    <numFmt numFmtId="171" formatCode="_-* #,##0\ _F_t_-;\-* #,##0\ _F_t_-;_-* &quot;-&quot;??\ _F_t_-;_-@_-"/>
    <numFmt numFmtId="172" formatCode="#,##0.0"/>
    <numFmt numFmtId="173" formatCode="0.0"/>
    <numFmt numFmtId="174" formatCode="_-* #,##0.0\ _F_t_-;\-* #,##0.0\ _F_t_-;_-* &quot;-&quot;??\ _F_t_-;_-@_-"/>
    <numFmt numFmtId="175" formatCode="yyyy/mm/dd;@"/>
    <numFmt numFmtId="176" formatCode="0.000"/>
    <numFmt numFmtId="177" formatCode="#,##0\ &quot;Ft&quot;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\ _F_t_-;\-* #,##0.000000\ _F_t_-;_-* &quot;-&quot;??????\ _F_t_-;_-@_-"/>
    <numFmt numFmtId="183" formatCode="_-* #,##0.00000\ _F_t_-;\-* #,##0.00000\ _F_t_-;_-* &quot;-&quot;??????\ _F_t_-;_-@_-"/>
    <numFmt numFmtId="184" formatCode="_-* #,##0.0000\ _F_t_-;\-* #,##0.0000\ _F_t_-;_-* &quot;-&quot;??????\ _F_t_-;_-@_-"/>
    <numFmt numFmtId="185" formatCode="_-* #,##0.000\ _F_t_-;\-* #,##0.000\ _F_t_-;_-* &quot;-&quot;??????\ _F_t_-;_-@_-"/>
    <numFmt numFmtId="186" formatCode="_-* #,##0.00\ _F_t_-;\-* #,##0.00\ _F_t_-;_-* &quot;-&quot;??????\ _F_t_-;_-@_-"/>
    <numFmt numFmtId="187" formatCode="_-* #,##0.0\ _F_t_-;\-* #,##0.0\ _F_t_-;_-* &quot;-&quot;??????\ _F_t_-;_-@_-"/>
    <numFmt numFmtId="188" formatCode="_-* #,##0\ _F_t_-;\-* #,##0\ _F_t_-;_-* &quot;-&quot;??????\ _F_t_-;_-@_-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[$¥€-2]\ #\ ##,000_);[Red]\([$€-2]\ #\ ##,000\)"/>
    <numFmt numFmtId="193" formatCode="_(* #,##0.0_);_(* \(#,##0.0\);_(* \-??_);_(@_)"/>
    <numFmt numFmtId="194" formatCode="_(* #,##0.00_);_(* \(#,##0.00\);_(* \-??_);_(@_)"/>
    <numFmt numFmtId="195" formatCode="#,##0_ ;\-#,##0\ "/>
    <numFmt numFmtId="196" formatCode="[$€-2]\ #,##0"/>
  </numFmts>
  <fonts count="93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Garamond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 CE"/>
      <family val="0"/>
    </font>
    <font>
      <i/>
      <sz val="14"/>
      <name val="Times New Roman CE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169" fontId="21" fillId="0" borderId="0">
      <alignment/>
      <protection/>
    </xf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6" fontId="0" fillId="0" borderId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71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3" fontId="11" fillId="0" borderId="0">
      <alignment vertical="center"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12" fillId="0" borderId="0">
      <alignment/>
      <protection/>
    </xf>
    <xf numFmtId="0" fontId="7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6" fillId="0" borderId="9" applyNumberFormat="0" applyFill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11" fillId="0" borderId="0">
      <alignment vertical="center"/>
      <protection/>
    </xf>
    <xf numFmtId="0" fontId="89" fillId="30" borderId="1" applyNumberFormat="0" applyAlignment="0" applyProtection="0"/>
    <xf numFmtId="9" fontId="71" fillId="0" borderId="0" applyFont="0" applyFill="0" applyBorder="0" applyAlignment="0" applyProtection="0"/>
  </cellStyleXfs>
  <cellXfs count="86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>
      <alignment/>
    </xf>
    <xf numFmtId="167" fontId="5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69" applyFont="1" applyFill="1">
      <alignment/>
      <protection/>
    </xf>
    <xf numFmtId="0" fontId="17" fillId="0" borderId="0" xfId="69" applyFont="1" applyFill="1" applyBorder="1" applyAlignment="1">
      <alignment horizontal="center"/>
      <protection/>
    </xf>
    <xf numFmtId="0" fontId="18" fillId="0" borderId="0" xfId="69" applyFont="1" applyFill="1">
      <alignment/>
      <protection/>
    </xf>
    <xf numFmtId="0" fontId="17" fillId="0" borderId="0" xfId="69" applyFont="1" applyFill="1" applyAlignment="1">
      <alignment/>
      <protection/>
    </xf>
    <xf numFmtId="0" fontId="19" fillId="0" borderId="0" xfId="69" applyFont="1" applyFill="1">
      <alignment/>
      <protection/>
    </xf>
    <xf numFmtId="0" fontId="16" fillId="0" borderId="0" xfId="69" applyFont="1" applyFill="1" applyBorder="1">
      <alignment/>
      <protection/>
    </xf>
    <xf numFmtId="3" fontId="16" fillId="0" borderId="0" xfId="69" applyNumberFormat="1" applyFont="1" applyFill="1">
      <alignment/>
      <protection/>
    </xf>
    <xf numFmtId="0" fontId="16" fillId="0" borderId="0" xfId="69" applyFont="1" applyFill="1" applyAlignment="1">
      <alignment horizontal="right"/>
      <protection/>
    </xf>
    <xf numFmtId="3" fontId="18" fillId="0" borderId="0" xfId="69" applyNumberFormat="1" applyFont="1" applyFill="1" applyAlignment="1">
      <alignment horizontal="right"/>
      <protection/>
    </xf>
    <xf numFmtId="0" fontId="17" fillId="0" borderId="0" xfId="69" applyFont="1" applyFill="1" applyBorder="1" applyAlignment="1">
      <alignment/>
      <protection/>
    </xf>
    <xf numFmtId="0" fontId="19" fillId="0" borderId="0" xfId="69" applyFont="1" applyFill="1" applyBorder="1">
      <alignment/>
      <protection/>
    </xf>
    <xf numFmtId="3" fontId="16" fillId="0" borderId="0" xfId="69" applyNumberFormat="1" applyFont="1" applyFill="1" applyBorder="1">
      <alignment/>
      <protection/>
    </xf>
    <xf numFmtId="3" fontId="16" fillId="0" borderId="0" xfId="69" applyNumberFormat="1" applyFont="1" applyFill="1" applyAlignment="1">
      <alignment horizontal="right"/>
      <protection/>
    </xf>
    <xf numFmtId="0" fontId="23" fillId="0" borderId="0" xfId="67" applyFont="1">
      <alignment/>
      <protection/>
    </xf>
    <xf numFmtId="3" fontId="23" fillId="0" borderId="0" xfId="67" applyNumberFormat="1" applyFont="1">
      <alignment/>
      <protection/>
    </xf>
    <xf numFmtId="0" fontId="23" fillId="0" borderId="0" xfId="67" applyFont="1" applyFill="1">
      <alignment/>
      <protection/>
    </xf>
    <xf numFmtId="3" fontId="25" fillId="0" borderId="0" xfId="67" applyNumberFormat="1" applyFont="1">
      <alignment/>
      <protection/>
    </xf>
    <xf numFmtId="0" fontId="26" fillId="0" borderId="0" xfId="67" applyFont="1">
      <alignment/>
      <protection/>
    </xf>
    <xf numFmtId="171" fontId="23" fillId="0" borderId="0" xfId="46" applyNumberFormat="1" applyFont="1" applyAlignment="1">
      <alignment/>
    </xf>
    <xf numFmtId="0" fontId="12" fillId="0" borderId="0" xfId="67">
      <alignment/>
      <protection/>
    </xf>
    <xf numFmtId="3" fontId="12" fillId="0" borderId="0" xfId="67" applyNumberFormat="1">
      <alignment/>
      <protection/>
    </xf>
    <xf numFmtId="3" fontId="12" fillId="0" borderId="0" xfId="67" applyNumberFormat="1" applyFont="1">
      <alignment/>
      <protection/>
    </xf>
    <xf numFmtId="0" fontId="12" fillId="0" borderId="0" xfId="67" applyFont="1">
      <alignment/>
      <protection/>
    </xf>
    <xf numFmtId="0" fontId="28" fillId="0" borderId="0" xfId="67" applyFont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167" fontId="5" fillId="0" borderId="0" xfId="0" applyNumberFormat="1" applyFont="1" applyFill="1" applyAlignment="1">
      <alignment/>
    </xf>
    <xf numFmtId="167" fontId="29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9" fillId="33" borderId="0" xfId="0" applyNumberFormat="1" applyFont="1" applyFill="1" applyAlignment="1">
      <alignment/>
    </xf>
    <xf numFmtId="175" fontId="2" fillId="33" borderId="0" xfId="79" applyNumberFormat="1" applyFont="1" applyFill="1" applyAlignment="1">
      <alignment horizontal="left"/>
      <protection/>
    </xf>
    <xf numFmtId="175" fontId="2" fillId="33" borderId="0" xfId="79" applyNumberFormat="1" applyFont="1" applyFill="1">
      <alignment/>
      <protection/>
    </xf>
    <xf numFmtId="0" fontId="12" fillId="33" borderId="0" xfId="79" applyFill="1" applyAlignment="1">
      <alignment horizontal="center"/>
      <protection/>
    </xf>
    <xf numFmtId="0" fontId="3" fillId="33" borderId="0" xfId="79" applyFont="1" applyFill="1">
      <alignment/>
      <protection/>
    </xf>
    <xf numFmtId="0" fontId="3" fillId="33" borderId="0" xfId="79" applyFont="1" applyFill="1" applyBorder="1">
      <alignment/>
      <protection/>
    </xf>
    <xf numFmtId="0" fontId="3" fillId="0" borderId="0" xfId="79" applyFont="1" applyFill="1">
      <alignment/>
      <protection/>
    </xf>
    <xf numFmtId="0" fontId="3" fillId="0" borderId="0" xfId="79" applyFont="1">
      <alignment/>
      <protection/>
    </xf>
    <xf numFmtId="0" fontId="3" fillId="33" borderId="0" xfId="79" applyFont="1" applyFill="1" applyBorder="1" applyAlignment="1">
      <alignment horizontal="center"/>
      <protection/>
    </xf>
    <xf numFmtId="0" fontId="3" fillId="0" borderId="0" xfId="79" applyFont="1" applyAlignment="1">
      <alignment horizontal="center"/>
      <protection/>
    </xf>
    <xf numFmtId="0" fontId="6" fillId="33" borderId="0" xfId="79" applyFont="1" applyFill="1" applyBorder="1" applyAlignment="1">
      <alignment vertical="center" wrapText="1"/>
      <protection/>
    </xf>
    <xf numFmtId="3" fontId="3" fillId="0" borderId="0" xfId="79" applyNumberFormat="1" applyFont="1">
      <alignment/>
      <protection/>
    </xf>
    <xf numFmtId="4" fontId="3" fillId="0" borderId="0" xfId="79" applyNumberFormat="1" applyFont="1">
      <alignment/>
      <protection/>
    </xf>
    <xf numFmtId="168" fontId="3" fillId="0" borderId="0" xfId="7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22" fillId="0" borderId="15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3" fontId="22" fillId="0" borderId="17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16" fillId="0" borderId="0" xfId="0" applyFont="1" applyAlignment="1">
      <alignment wrapText="1"/>
    </xf>
    <xf numFmtId="168" fontId="16" fillId="0" borderId="0" xfId="0" applyNumberFormat="1" applyFont="1" applyAlignment="1">
      <alignment/>
    </xf>
    <xf numFmtId="0" fontId="25" fillId="0" borderId="0" xfId="67" applyFont="1" applyFill="1" applyBorder="1" applyAlignment="1">
      <alignment vertical="center"/>
      <protection/>
    </xf>
    <xf numFmtId="0" fontId="33" fillId="0" borderId="0" xfId="67" applyFont="1" applyFill="1" applyBorder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3" fontId="23" fillId="0" borderId="0" xfId="67" applyNumberFormat="1" applyFont="1" applyFill="1" applyBorder="1" applyAlignment="1">
      <alignment horizontal="right" vertical="center" wrapText="1"/>
      <protection/>
    </xf>
    <xf numFmtId="0" fontId="24" fillId="0" borderId="0" xfId="67" applyFont="1" applyFill="1">
      <alignment/>
      <protection/>
    </xf>
    <xf numFmtId="3" fontId="25" fillId="0" borderId="0" xfId="67" applyNumberFormat="1" applyFont="1" applyFill="1" applyBorder="1" applyAlignment="1">
      <alignment horizontal="right" vertical="center" wrapText="1"/>
      <protection/>
    </xf>
    <xf numFmtId="3" fontId="34" fillId="0" borderId="0" xfId="67" applyNumberFormat="1" applyFont="1" applyFill="1" applyBorder="1" applyAlignment="1">
      <alignment horizontal="right" vertical="center" wrapText="1"/>
      <protection/>
    </xf>
    <xf numFmtId="3" fontId="35" fillId="0" borderId="0" xfId="67" applyNumberFormat="1" applyFont="1" applyFill="1" applyBorder="1" applyAlignment="1">
      <alignment horizontal="right" vertical="center" wrapText="1"/>
      <protection/>
    </xf>
    <xf numFmtId="3" fontId="24" fillId="0" borderId="0" xfId="67" applyNumberFormat="1" applyFont="1" applyFill="1" applyAlignment="1">
      <alignment vertical="center"/>
      <protection/>
    </xf>
    <xf numFmtId="3" fontId="35" fillId="0" borderId="0" xfId="67" applyNumberFormat="1" applyFont="1" applyFill="1" applyBorder="1" applyAlignment="1">
      <alignment horizontal="right" vertical="center"/>
      <protection/>
    </xf>
    <xf numFmtId="3" fontId="23" fillId="0" borderId="0" xfId="67" applyNumberFormat="1" applyFont="1" applyFill="1" applyBorder="1" applyAlignment="1">
      <alignment horizontal="right" vertical="center"/>
      <protection/>
    </xf>
    <xf numFmtId="3" fontId="25" fillId="0" borderId="0" xfId="67" applyNumberFormat="1" applyFont="1" applyFill="1" applyBorder="1" applyAlignment="1">
      <alignment horizontal="right" vertical="center"/>
      <protection/>
    </xf>
    <xf numFmtId="3" fontId="34" fillId="0" borderId="0" xfId="67" applyNumberFormat="1" applyFont="1" applyFill="1" applyBorder="1" applyAlignment="1">
      <alignment horizontal="right" vertical="center"/>
      <protection/>
    </xf>
    <xf numFmtId="0" fontId="25" fillId="0" borderId="0" xfId="67" applyFont="1" applyFill="1" applyBorder="1" applyAlignment="1">
      <alignment horizontal="left"/>
      <protection/>
    </xf>
    <xf numFmtId="3" fontId="24" fillId="0" borderId="0" xfId="67" applyNumberFormat="1" applyFont="1" applyFill="1">
      <alignment/>
      <protection/>
    </xf>
    <xf numFmtId="3" fontId="26" fillId="0" borderId="0" xfId="67" applyNumberFormat="1" applyFont="1" applyFill="1" applyBorder="1" applyAlignment="1">
      <alignment horizontal="right" vertical="center" wrapText="1"/>
      <protection/>
    </xf>
    <xf numFmtId="0" fontId="23" fillId="0" borderId="0" xfId="67" applyFont="1" applyFill="1" applyBorder="1" applyAlignment="1">
      <alignment horizontal="center" vertical="center"/>
      <protection/>
    </xf>
    <xf numFmtId="3" fontId="36" fillId="0" borderId="0" xfId="67" applyNumberFormat="1" applyFont="1" applyFill="1" applyBorder="1" applyAlignment="1">
      <alignment horizontal="right" vertical="center" wrapText="1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12" fillId="0" borderId="0" xfId="67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 wrapText="1"/>
      <protection/>
    </xf>
    <xf numFmtId="0" fontId="12" fillId="0" borderId="0" xfId="67" applyFill="1" applyBorder="1" applyAlignment="1">
      <alignment horizontal="center" vertical="center" wrapText="1"/>
      <protection/>
    </xf>
    <xf numFmtId="3" fontId="23" fillId="0" borderId="0" xfId="67" applyNumberFormat="1" applyFont="1" applyFill="1" applyBorder="1" applyAlignment="1">
      <alignment horizontal="center" vertical="center"/>
      <protection/>
    </xf>
    <xf numFmtId="3" fontId="25" fillId="0" borderId="0" xfId="67" applyNumberFormat="1" applyFont="1" applyFill="1" applyBorder="1" applyAlignment="1">
      <alignment horizontal="center" vertical="center" wrapText="1"/>
      <protection/>
    </xf>
    <xf numFmtId="3" fontId="33" fillId="0" borderId="0" xfId="67" applyNumberFormat="1" applyFont="1" applyFill="1" applyBorder="1" applyAlignment="1">
      <alignment horizontal="center" vertical="center" wrapText="1"/>
      <protection/>
    </xf>
    <xf numFmtId="3" fontId="24" fillId="0" borderId="0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Border="1" applyAlignment="1">
      <alignment horizontal="left" vertical="center"/>
      <protection/>
    </xf>
    <xf numFmtId="3" fontId="33" fillId="0" borderId="0" xfId="67" applyNumberFormat="1" applyFont="1" applyFill="1" applyBorder="1" applyAlignment="1">
      <alignment horizontal="right" vertical="center" wrapText="1"/>
      <protection/>
    </xf>
    <xf numFmtId="3" fontId="24" fillId="0" borderId="0" xfId="67" applyNumberFormat="1" applyFont="1" applyFill="1" applyBorder="1" applyAlignment="1">
      <alignment horizontal="right" vertical="center" wrapText="1"/>
      <protection/>
    </xf>
    <xf numFmtId="3" fontId="37" fillId="0" borderId="0" xfId="67" applyNumberFormat="1" applyFont="1" applyFill="1" applyBorder="1" applyAlignment="1">
      <alignment horizontal="right" vertical="center" wrapText="1"/>
      <protection/>
    </xf>
    <xf numFmtId="0" fontId="23" fillId="0" borderId="0" xfId="67" applyFont="1" applyFill="1" applyBorder="1">
      <alignment/>
      <protection/>
    </xf>
    <xf numFmtId="0" fontId="24" fillId="0" borderId="0" xfId="67" applyFont="1" applyFill="1" applyBorder="1">
      <alignment/>
      <protection/>
    </xf>
    <xf numFmtId="0" fontId="11" fillId="33" borderId="19" xfId="0" applyFont="1" applyFill="1" applyBorder="1" applyAlignment="1" applyProtection="1">
      <alignment horizontal="left"/>
      <protection/>
    </xf>
    <xf numFmtId="167" fontId="2" fillId="0" borderId="0" xfId="43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>
      <alignment shrinkToFit="1"/>
    </xf>
    <xf numFmtId="3" fontId="3" fillId="0" borderId="0" xfId="0" applyNumberFormat="1" applyFont="1" applyFill="1" applyBorder="1" applyAlignment="1">
      <alignment/>
    </xf>
    <xf numFmtId="167" fontId="2" fillId="0" borderId="0" xfId="43" applyNumberFormat="1" applyFont="1" applyFill="1" applyBorder="1" applyAlignment="1" applyProtection="1">
      <alignment shrinkToFit="1"/>
      <protection/>
    </xf>
    <xf numFmtId="0" fontId="4" fillId="0" borderId="0" xfId="0" applyFont="1" applyFill="1" applyBorder="1" applyAlignment="1">
      <alignment/>
    </xf>
    <xf numFmtId="171" fontId="9" fillId="0" borderId="0" xfId="41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71" fontId="3" fillId="0" borderId="0" xfId="41" applyNumberFormat="1" applyFont="1" applyFill="1" applyAlignment="1">
      <alignment/>
    </xf>
    <xf numFmtId="49" fontId="22" fillId="0" borderId="2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shrinkToFit="1"/>
    </xf>
    <xf numFmtId="3" fontId="8" fillId="0" borderId="0" xfId="79" applyNumberFormat="1" applyFont="1" applyFill="1" applyBorder="1" applyAlignment="1">
      <alignment vertical="center"/>
      <protection/>
    </xf>
    <xf numFmtId="4" fontId="23" fillId="0" borderId="0" xfId="67" applyNumberFormat="1" applyFont="1" applyFill="1" applyBorder="1" applyAlignment="1">
      <alignment horizontal="right" vertical="center" wrapText="1"/>
      <protection/>
    </xf>
    <xf numFmtId="3" fontId="3" fillId="33" borderId="0" xfId="79" applyNumberFormat="1" applyFont="1" applyFill="1">
      <alignment/>
      <protection/>
    </xf>
    <xf numFmtId="0" fontId="4" fillId="0" borderId="0" xfId="79" applyFont="1">
      <alignment/>
      <protection/>
    </xf>
    <xf numFmtId="0" fontId="4" fillId="33" borderId="21" xfId="79" applyFont="1" applyFill="1" applyBorder="1" applyAlignment="1">
      <alignment horizontal="center" vertical="center"/>
      <protection/>
    </xf>
    <xf numFmtId="0" fontId="4" fillId="33" borderId="22" xfId="79" applyFont="1" applyFill="1" applyBorder="1" applyAlignment="1">
      <alignment horizontal="center" vertical="center"/>
      <protection/>
    </xf>
    <xf numFmtId="0" fontId="4" fillId="0" borderId="22" xfId="79" applyFont="1" applyFill="1" applyBorder="1" applyAlignment="1">
      <alignment horizontal="center" vertical="center" wrapText="1"/>
      <protection/>
    </xf>
    <xf numFmtId="0" fontId="4" fillId="0" borderId="23" xfId="79" applyFont="1" applyFill="1" applyBorder="1" applyAlignment="1">
      <alignment horizontal="center" vertical="center" wrapText="1"/>
      <protection/>
    </xf>
    <xf numFmtId="3" fontId="3" fillId="0" borderId="0" xfId="79" applyNumberFormat="1" applyFont="1" applyFill="1">
      <alignment/>
      <protection/>
    </xf>
    <xf numFmtId="3" fontId="3" fillId="0" borderId="0" xfId="79" applyNumberFormat="1" applyFont="1" applyFill="1" applyBorder="1" applyAlignment="1">
      <alignment horizontal="center" vertical="center"/>
      <protection/>
    </xf>
    <xf numFmtId="3" fontId="3" fillId="0" borderId="0" xfId="79" applyNumberFormat="1" applyFont="1" applyFill="1" applyAlignment="1">
      <alignment horizontal="center" vertical="center"/>
      <protection/>
    </xf>
    <xf numFmtId="0" fontId="3" fillId="0" borderId="0" xfId="79" applyFont="1" applyFill="1" applyAlignment="1">
      <alignment horizontal="center" vertical="center"/>
      <protection/>
    </xf>
    <xf numFmtId="0" fontId="8" fillId="0" borderId="20" xfId="79" applyFont="1" applyFill="1" applyBorder="1" applyAlignment="1">
      <alignment horizontal="left"/>
      <protection/>
    </xf>
    <xf numFmtId="3" fontId="8" fillId="0" borderId="20" xfId="79" applyNumberFormat="1" applyFont="1" applyFill="1" applyBorder="1" applyAlignment="1">
      <alignment horizontal="left"/>
      <protection/>
    </xf>
    <xf numFmtId="3" fontId="3" fillId="0" borderId="0" xfId="79" applyNumberFormat="1" applyFont="1" applyFill="1" applyBorder="1" applyAlignment="1">
      <alignment horizontal="left"/>
      <protection/>
    </xf>
    <xf numFmtId="3" fontId="3" fillId="0" borderId="0" xfId="79" applyNumberFormat="1" applyFont="1" applyFill="1" applyAlignment="1">
      <alignment horizontal="left"/>
      <protection/>
    </xf>
    <xf numFmtId="0" fontId="3" fillId="0" borderId="0" xfId="79" applyFont="1" applyFill="1" applyAlignment="1">
      <alignment horizontal="left"/>
      <protection/>
    </xf>
    <xf numFmtId="0" fontId="3" fillId="0" borderId="20" xfId="79" applyFont="1" applyFill="1" applyBorder="1" applyAlignment="1">
      <alignment horizontal="left"/>
      <protection/>
    </xf>
    <xf numFmtId="0" fontId="6" fillId="33" borderId="24" xfId="79" applyFont="1" applyFill="1" applyBorder="1" applyAlignment="1">
      <alignment horizontal="left" wrapText="1"/>
      <protection/>
    </xf>
    <xf numFmtId="0" fontId="6" fillId="33" borderId="20" xfId="79" applyFont="1" applyFill="1" applyBorder="1" applyAlignment="1">
      <alignment horizontal="left" wrapText="1"/>
      <protection/>
    </xf>
    <xf numFmtId="0" fontId="6" fillId="0" borderId="20" xfId="79" applyFont="1" applyFill="1" applyBorder="1" applyAlignment="1">
      <alignment horizontal="left"/>
      <protection/>
    </xf>
    <xf numFmtId="0" fontId="6" fillId="0" borderId="20" xfId="79" applyFont="1" applyFill="1" applyBorder="1" applyAlignment="1">
      <alignment horizontal="left" wrapText="1"/>
      <protection/>
    </xf>
    <xf numFmtId="0" fontId="6" fillId="0" borderId="20" xfId="79" applyFont="1" applyFill="1" applyBorder="1" applyAlignment="1">
      <alignment horizontal="left"/>
      <protection/>
    </xf>
    <xf numFmtId="0" fontId="32" fillId="0" borderId="20" xfId="79" applyFont="1" applyFill="1" applyBorder="1" applyAlignment="1">
      <alignment horizontal="left" wrapText="1"/>
      <protection/>
    </xf>
    <xf numFmtId="0" fontId="6" fillId="0" borderId="20" xfId="79" applyFont="1" applyFill="1" applyBorder="1" applyAlignment="1">
      <alignment horizontal="left" wrapText="1"/>
      <protection/>
    </xf>
    <xf numFmtId="0" fontId="32" fillId="0" borderId="20" xfId="79" applyFont="1" applyFill="1" applyBorder="1" applyAlignment="1">
      <alignment horizontal="left"/>
      <protection/>
    </xf>
    <xf numFmtId="0" fontId="8" fillId="0" borderId="25" xfId="79" applyFont="1" applyFill="1" applyBorder="1" applyAlignment="1">
      <alignment horizontal="left"/>
      <protection/>
    </xf>
    <xf numFmtId="0" fontId="8" fillId="0" borderId="22" xfId="79" applyFont="1" applyFill="1" applyBorder="1" applyAlignment="1">
      <alignment horizontal="left"/>
      <protection/>
    </xf>
    <xf numFmtId="3" fontId="6" fillId="33" borderId="24" xfId="79" applyNumberFormat="1" applyFont="1" applyFill="1" applyBorder="1" applyAlignment="1">
      <alignment horizontal="right" wrapText="1"/>
      <protection/>
    </xf>
    <xf numFmtId="3" fontId="6" fillId="33" borderId="20" xfId="79" applyNumberFormat="1" applyFont="1" applyFill="1" applyBorder="1" applyAlignment="1">
      <alignment horizontal="right" wrapText="1"/>
      <protection/>
    </xf>
    <xf numFmtId="3" fontId="6" fillId="0" borderId="20" xfId="79" applyNumberFormat="1" applyFont="1" applyFill="1" applyBorder="1" applyAlignment="1">
      <alignment horizontal="right" wrapText="1"/>
      <protection/>
    </xf>
    <xf numFmtId="3" fontId="32" fillId="0" borderId="20" xfId="79" applyNumberFormat="1" applyFont="1" applyFill="1" applyBorder="1" applyAlignment="1">
      <alignment horizontal="right" wrapText="1"/>
      <protection/>
    </xf>
    <xf numFmtId="3" fontId="8" fillId="0" borderId="20" xfId="79" applyNumberFormat="1" applyFont="1" applyFill="1" applyBorder="1" applyAlignment="1">
      <alignment horizontal="right"/>
      <protection/>
    </xf>
    <xf numFmtId="3" fontId="6" fillId="0" borderId="20" xfId="79" applyNumberFormat="1" applyFont="1" applyFill="1" applyBorder="1" applyAlignment="1" applyProtection="1">
      <alignment horizontal="right"/>
      <protection hidden="1"/>
    </xf>
    <xf numFmtId="3" fontId="32" fillId="0" borderId="20" xfId="79" applyNumberFormat="1" applyFont="1" applyFill="1" applyBorder="1" applyAlignment="1" applyProtection="1">
      <alignment horizontal="right"/>
      <protection hidden="1"/>
    </xf>
    <xf numFmtId="3" fontId="6" fillId="0" borderId="20" xfId="79" applyNumberFormat="1" applyFont="1" applyFill="1" applyBorder="1" applyAlignment="1">
      <alignment horizontal="right"/>
      <protection/>
    </xf>
    <xf numFmtId="3" fontId="8" fillId="0" borderId="20" xfId="79" applyNumberFormat="1" applyFont="1" applyFill="1" applyBorder="1" applyAlignment="1">
      <alignment horizontal="right"/>
      <protection/>
    </xf>
    <xf numFmtId="3" fontId="6" fillId="0" borderId="20" xfId="79" applyNumberFormat="1" applyFont="1" applyFill="1" applyBorder="1" applyAlignment="1" applyProtection="1">
      <alignment horizontal="right"/>
      <protection hidden="1"/>
    </xf>
    <xf numFmtId="3" fontId="8" fillId="0" borderId="25" xfId="79" applyNumberFormat="1" applyFont="1" applyFill="1" applyBorder="1" applyAlignment="1">
      <alignment horizontal="right"/>
      <protection/>
    </xf>
    <xf numFmtId="3" fontId="8" fillId="0" borderId="22" xfId="79" applyNumberFormat="1" applyFont="1" applyFill="1" applyBorder="1" applyAlignment="1">
      <alignment horizontal="right"/>
      <protection/>
    </xf>
    <xf numFmtId="3" fontId="6" fillId="0" borderId="24" xfId="79" applyNumberFormat="1" applyFont="1" applyFill="1" applyBorder="1" applyAlignment="1" applyProtection="1">
      <alignment horizontal="right"/>
      <protection hidden="1"/>
    </xf>
    <xf numFmtId="3" fontId="6" fillId="0" borderId="20" xfId="79" applyNumberFormat="1" applyFont="1" applyFill="1" applyBorder="1" applyAlignment="1" applyProtection="1">
      <alignment horizontal="right"/>
      <protection locked="0"/>
    </xf>
    <xf numFmtId="3" fontId="6" fillId="0" borderId="20" xfId="79" applyNumberFormat="1" applyFont="1" applyFill="1" applyBorder="1" applyAlignment="1">
      <alignment horizontal="right"/>
      <protection/>
    </xf>
    <xf numFmtId="0" fontId="3" fillId="0" borderId="20" xfId="79" applyFont="1" applyFill="1" applyBorder="1" applyAlignment="1">
      <alignment horizontal="right"/>
      <protection/>
    </xf>
    <xf numFmtId="3" fontId="8" fillId="0" borderId="20" xfId="79" applyNumberFormat="1" applyFont="1" applyFill="1" applyBorder="1" applyAlignment="1" applyProtection="1">
      <alignment horizontal="right"/>
      <protection locked="0"/>
    </xf>
    <xf numFmtId="3" fontId="8" fillId="0" borderId="23" xfId="79" applyNumberFormat="1" applyFont="1" applyFill="1" applyBorder="1" applyAlignment="1">
      <alignment horizontal="right"/>
      <protection/>
    </xf>
    <xf numFmtId="0" fontId="6" fillId="33" borderId="24" xfId="79" applyFont="1" applyFill="1" applyBorder="1" applyAlignment="1">
      <alignment horizontal="center"/>
      <protection/>
    </xf>
    <xf numFmtId="0" fontId="6" fillId="33" borderId="20" xfId="79" applyFont="1" applyFill="1" applyBorder="1" applyAlignment="1">
      <alignment horizontal="center"/>
      <protection/>
    </xf>
    <xf numFmtId="0" fontId="6" fillId="0" borderId="20" xfId="79" applyFont="1" applyFill="1" applyBorder="1" applyAlignment="1">
      <alignment horizontal="center"/>
      <protection/>
    </xf>
    <xf numFmtId="0" fontId="6" fillId="0" borderId="20" xfId="79" applyFont="1" applyFill="1" applyBorder="1" applyAlignment="1">
      <alignment horizontal="center"/>
      <protection/>
    </xf>
    <xf numFmtId="0" fontId="8" fillId="0" borderId="20" xfId="79" applyFont="1" applyFill="1" applyBorder="1" applyAlignment="1">
      <alignment horizontal="center"/>
      <protection/>
    </xf>
    <xf numFmtId="0" fontId="3" fillId="0" borderId="20" xfId="79" applyFont="1" applyFill="1" applyBorder="1" applyAlignment="1">
      <alignment horizontal="center"/>
      <protection/>
    </xf>
    <xf numFmtId="0" fontId="8" fillId="0" borderId="20" xfId="0" applyFont="1" applyFill="1" applyBorder="1" applyAlignment="1">
      <alignment horizontal="center"/>
    </xf>
    <xf numFmtId="0" fontId="8" fillId="0" borderId="25" xfId="79" applyFont="1" applyFill="1" applyBorder="1" applyAlignment="1">
      <alignment horizontal="center"/>
      <protection/>
    </xf>
    <xf numFmtId="0" fontId="8" fillId="0" borderId="21" xfId="79" applyFont="1" applyFill="1" applyBorder="1" applyAlignment="1">
      <alignment horizontal="center"/>
      <protection/>
    </xf>
    <xf numFmtId="3" fontId="6" fillId="33" borderId="24" xfId="79" applyNumberFormat="1" applyFont="1" applyFill="1" applyBorder="1" applyAlignment="1">
      <alignment horizontal="center"/>
      <protection/>
    </xf>
    <xf numFmtId="0" fontId="6" fillId="33" borderId="20" xfId="79" applyFont="1" applyFill="1" applyBorder="1" applyAlignment="1">
      <alignment horizontal="center"/>
      <protection/>
    </xf>
    <xf numFmtId="3" fontId="6" fillId="0" borderId="20" xfId="79" applyNumberFormat="1" applyFont="1" applyFill="1" applyBorder="1" applyAlignment="1">
      <alignment horizontal="center"/>
      <protection/>
    </xf>
    <xf numFmtId="3" fontId="8" fillId="0" borderId="20" xfId="79" applyNumberFormat="1" applyFont="1" applyFill="1" applyBorder="1" applyAlignment="1">
      <alignment horizontal="center"/>
      <protection/>
    </xf>
    <xf numFmtId="0" fontId="8" fillId="0" borderId="22" xfId="79" applyFont="1" applyFill="1" applyBorder="1" applyAlignment="1">
      <alignment horizontal="center"/>
      <protection/>
    </xf>
    <xf numFmtId="171" fontId="11" fillId="33" borderId="0" xfId="41" applyNumberFormat="1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"/>
    </xf>
    <xf numFmtId="16" fontId="11" fillId="33" borderId="2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33" borderId="2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20" xfId="0" applyFont="1" applyFill="1" applyBorder="1" applyAlignment="1">
      <alignment wrapText="1"/>
    </xf>
    <xf numFmtId="0" fontId="4" fillId="33" borderId="20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20" xfId="0" applyFont="1" applyFill="1" applyBorder="1" applyAlignment="1" applyProtection="1">
      <alignment/>
      <protection/>
    </xf>
    <xf numFmtId="49" fontId="11" fillId="33" borderId="20" xfId="0" applyNumberFormat="1" applyFont="1" applyFill="1" applyBorder="1" applyAlignment="1" applyProtection="1">
      <alignment horizontal="left"/>
      <protection/>
    </xf>
    <xf numFmtId="0" fontId="11" fillId="33" borderId="20" xfId="0" applyFont="1" applyFill="1" applyBorder="1" applyAlignment="1" applyProtection="1">
      <alignment horizontal="left"/>
      <protection/>
    </xf>
    <xf numFmtId="3" fontId="11" fillId="0" borderId="20" xfId="0" applyNumberFormat="1" applyFont="1" applyFill="1" applyBorder="1" applyAlignment="1" applyProtection="1">
      <alignment horizontal="right"/>
      <protection locked="0"/>
    </xf>
    <xf numFmtId="165" fontId="11" fillId="0" borderId="20" xfId="4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3" fontId="11" fillId="0" borderId="2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165" fontId="11" fillId="0" borderId="20" xfId="41" applyFont="1" applyFill="1" applyBorder="1" applyAlignment="1">
      <alignment/>
    </xf>
    <xf numFmtId="0" fontId="11" fillId="0" borderId="20" xfId="0" applyFont="1" applyFill="1" applyBorder="1" applyAlignment="1">
      <alignment/>
    </xf>
    <xf numFmtId="49" fontId="4" fillId="33" borderId="29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1" fontId="9" fillId="0" borderId="0" xfId="41" applyNumberFormat="1" applyFont="1" applyFill="1" applyAlignment="1">
      <alignment/>
    </xf>
    <xf numFmtId="179" fontId="9" fillId="0" borderId="0" xfId="41" applyNumberFormat="1" applyFont="1" applyFill="1" applyAlignment="1">
      <alignment/>
    </xf>
    <xf numFmtId="3" fontId="4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4" fillId="0" borderId="23" xfId="0" applyNumberFormat="1" applyFont="1" applyFill="1" applyBorder="1" applyAlignment="1" applyProtection="1">
      <alignment horizontal="right"/>
      <protection/>
    </xf>
    <xf numFmtId="0" fontId="38" fillId="0" borderId="0" xfId="67" applyFont="1" applyAlignment="1">
      <alignment horizontal="center" vertical="center"/>
      <protection/>
    </xf>
    <xf numFmtId="0" fontId="38" fillId="0" borderId="0" xfId="67" applyFont="1" applyBorder="1" applyAlignment="1">
      <alignment vertical="center"/>
      <protection/>
    </xf>
    <xf numFmtId="3" fontId="38" fillId="0" borderId="0" xfId="67" applyNumberFormat="1" applyFont="1" applyBorder="1" applyAlignment="1">
      <alignment vertical="center" wrapText="1"/>
      <protection/>
    </xf>
    <xf numFmtId="0" fontId="38" fillId="0" borderId="0" xfId="67" applyFont="1" applyAlignment="1">
      <alignment vertical="center"/>
      <protection/>
    </xf>
    <xf numFmtId="0" fontId="24" fillId="0" borderId="20" xfId="67" applyFont="1" applyBorder="1" applyAlignment="1">
      <alignment horizontal="center" vertical="center" wrapText="1"/>
      <protection/>
    </xf>
    <xf numFmtId="0" fontId="39" fillId="19" borderId="20" xfId="67" applyFont="1" applyFill="1" applyBorder="1" applyAlignment="1">
      <alignment horizontal="left"/>
      <protection/>
    </xf>
    <xf numFmtId="3" fontId="39" fillId="19" borderId="20" xfId="67" applyNumberFormat="1" applyFont="1" applyFill="1" applyBorder="1" applyAlignment="1">
      <alignment horizontal="right" wrapText="1"/>
      <protection/>
    </xf>
    <xf numFmtId="0" fontId="38" fillId="0" borderId="20" xfId="67" applyFont="1" applyBorder="1" applyAlignment="1">
      <alignment wrapText="1"/>
      <protection/>
    </xf>
    <xf numFmtId="3" fontId="38" fillId="0" borderId="20" xfId="67" applyNumberFormat="1" applyFont="1" applyBorder="1" applyAlignment="1">
      <alignment wrapText="1"/>
      <protection/>
    </xf>
    <xf numFmtId="0" fontId="39" fillId="0" borderId="20" xfId="67" applyFont="1" applyBorder="1" applyAlignment="1">
      <alignment wrapText="1"/>
      <protection/>
    </xf>
    <xf numFmtId="3" fontId="39" fillId="0" borderId="20" xfId="67" applyNumberFormat="1" applyFont="1" applyBorder="1" applyAlignment="1">
      <alignment wrapText="1"/>
      <protection/>
    </xf>
    <xf numFmtId="0" fontId="39" fillId="19" borderId="24" xfId="67" applyFont="1" applyFill="1" applyBorder="1" applyAlignment="1">
      <alignment horizontal="left"/>
      <protection/>
    </xf>
    <xf numFmtId="3" fontId="39" fillId="19" borderId="24" xfId="67" applyNumberFormat="1" applyFont="1" applyFill="1" applyBorder="1" applyAlignment="1">
      <alignment horizontal="right" wrapText="1"/>
      <protection/>
    </xf>
    <xf numFmtId="0" fontId="38" fillId="0" borderId="25" xfId="67" applyFont="1" applyBorder="1" applyAlignment="1">
      <alignment wrapText="1"/>
      <protection/>
    </xf>
    <xf numFmtId="3" fontId="38" fillId="0" borderId="25" xfId="67" applyNumberFormat="1" applyFont="1" applyBorder="1" applyAlignment="1">
      <alignment wrapText="1"/>
      <protection/>
    </xf>
    <xf numFmtId="0" fontId="33" fillId="0" borderId="21" xfId="67" applyFont="1" applyBorder="1" applyAlignment="1">
      <alignment horizontal="center" vertical="center"/>
      <protection/>
    </xf>
    <xf numFmtId="0" fontId="33" fillId="0" borderId="22" xfId="67" applyFont="1" applyBorder="1" applyAlignment="1">
      <alignment horizontal="center" vertical="center" wrapText="1"/>
      <protection/>
    </xf>
    <xf numFmtId="0" fontId="33" fillId="0" borderId="23" xfId="67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167" fontId="2" fillId="0" borderId="20" xfId="43" applyNumberFormat="1" applyFont="1" applyFill="1" applyBorder="1" applyAlignment="1" applyProtection="1">
      <alignment shrinkToFit="1"/>
      <protection/>
    </xf>
    <xf numFmtId="0" fontId="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15" fillId="0" borderId="0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3" fontId="2" fillId="0" borderId="20" xfId="43" applyNumberFormat="1" applyFont="1" applyFill="1" applyBorder="1" applyAlignment="1" applyProtection="1">
      <alignment shrinkToFit="1"/>
      <protection/>
    </xf>
    <xf numFmtId="3" fontId="2" fillId="0" borderId="20" xfId="43" applyNumberFormat="1" applyFont="1" applyFill="1" applyBorder="1" applyAlignment="1" applyProtection="1">
      <alignment/>
      <protection/>
    </xf>
    <xf numFmtId="3" fontId="15" fillId="0" borderId="20" xfId="43" applyNumberFormat="1" applyFont="1" applyFill="1" applyBorder="1" applyAlignment="1" applyProtection="1">
      <alignment shrinkToFit="1"/>
      <protection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3" fontId="7" fillId="13" borderId="20" xfId="0" applyNumberFormat="1" applyFont="1" applyFill="1" applyBorder="1" applyAlignment="1">
      <alignment horizontal="center"/>
    </xf>
    <xf numFmtId="3" fontId="7" fillId="13" borderId="20" xfId="0" applyNumberFormat="1" applyFont="1" applyFill="1" applyBorder="1" applyAlignment="1">
      <alignment horizontal="left"/>
    </xf>
    <xf numFmtId="3" fontId="15" fillId="13" borderId="20" xfId="43" applyNumberFormat="1" applyFont="1" applyFill="1" applyBorder="1" applyAlignment="1" applyProtection="1">
      <alignment shrinkToFit="1"/>
      <protection/>
    </xf>
    <xf numFmtId="3" fontId="15" fillId="13" borderId="0" xfId="43" applyNumberFormat="1" applyFont="1" applyFill="1" applyBorder="1" applyAlignment="1" applyProtection="1">
      <alignment shrinkToFit="1"/>
      <protection/>
    </xf>
    <xf numFmtId="3" fontId="9" fillId="13" borderId="0" xfId="0" applyNumberFormat="1" applyFont="1" applyFill="1" applyAlignment="1">
      <alignment/>
    </xf>
    <xf numFmtId="0" fontId="7" fillId="13" borderId="20" xfId="0" applyFont="1" applyFill="1" applyBorder="1" applyAlignment="1">
      <alignment horizontal="left"/>
    </xf>
    <xf numFmtId="3" fontId="15" fillId="13" borderId="20" xfId="43" applyNumberFormat="1" applyFont="1" applyFill="1" applyBorder="1" applyAlignment="1" applyProtection="1">
      <alignment/>
      <protection/>
    </xf>
    <xf numFmtId="165" fontId="15" fillId="0" borderId="25" xfId="41" applyFont="1" applyFill="1" applyBorder="1" applyAlignment="1" applyProtection="1">
      <alignment shrinkToFit="1"/>
      <protection/>
    </xf>
    <xf numFmtId="165" fontId="2" fillId="0" borderId="25" xfId="41" applyFont="1" applyFill="1" applyBorder="1" applyAlignment="1" applyProtection="1">
      <alignment shrinkToFit="1"/>
      <protection/>
    </xf>
    <xf numFmtId="3" fontId="15" fillId="2" borderId="22" xfId="43" applyNumberFormat="1" applyFont="1" applyFill="1" applyBorder="1" applyAlignment="1" applyProtection="1">
      <alignment shrinkToFit="1"/>
      <protection/>
    </xf>
    <xf numFmtId="0" fontId="3" fillId="0" borderId="0" xfId="0" applyFont="1" applyFill="1" applyBorder="1" applyAlignment="1">
      <alignment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5" fillId="33" borderId="29" xfId="0" applyFont="1" applyFill="1" applyBorder="1" applyAlignment="1" applyProtection="1">
      <alignment horizontal="center"/>
      <protection hidden="1"/>
    </xf>
    <xf numFmtId="3" fontId="16" fillId="0" borderId="20" xfId="69" applyNumberFormat="1" applyFont="1" applyFill="1" applyBorder="1" applyAlignment="1">
      <alignment horizontal="right"/>
      <protection/>
    </xf>
    <xf numFmtId="3" fontId="16" fillId="0" borderId="25" xfId="69" applyNumberFormat="1" applyFont="1" applyFill="1" applyBorder="1" applyAlignment="1">
      <alignment horizontal="right"/>
      <protection/>
    </xf>
    <xf numFmtId="0" fontId="11" fillId="0" borderId="20" xfId="67" applyFont="1" applyBorder="1" applyAlignment="1">
      <alignment horizontal="left"/>
      <protection/>
    </xf>
    <xf numFmtId="0" fontId="24" fillId="0" borderId="20" xfId="67" applyFont="1" applyBorder="1">
      <alignment/>
      <protection/>
    </xf>
    <xf numFmtId="0" fontId="23" fillId="0" borderId="20" xfId="67" applyFont="1" applyBorder="1">
      <alignment/>
      <protection/>
    </xf>
    <xf numFmtId="0" fontId="16" fillId="0" borderId="20" xfId="69" applyFont="1" applyFill="1" applyBorder="1">
      <alignment/>
      <protection/>
    </xf>
    <xf numFmtId="0" fontId="24" fillId="0" borderId="32" xfId="67" applyFont="1" applyBorder="1" applyAlignment="1">
      <alignment vertical="center"/>
      <protection/>
    </xf>
    <xf numFmtId="0" fontId="11" fillId="0" borderId="32" xfId="67" applyFont="1" applyBorder="1" applyAlignment="1">
      <alignment/>
      <protection/>
    </xf>
    <xf numFmtId="0" fontId="11" fillId="0" borderId="20" xfId="67" applyFont="1" applyBorder="1" applyAlignment="1">
      <alignment/>
      <protection/>
    </xf>
    <xf numFmtId="0" fontId="24" fillId="0" borderId="20" xfId="67" applyFont="1" applyBorder="1" applyAlignment="1">
      <alignment vertical="center"/>
      <protection/>
    </xf>
    <xf numFmtId="3" fontId="38" fillId="33" borderId="20" xfId="0" applyNumberFormat="1" applyFont="1" applyFill="1" applyBorder="1" applyAlignment="1" applyProtection="1">
      <alignment/>
      <protection hidden="1"/>
    </xf>
    <xf numFmtId="167" fontId="38" fillId="33" borderId="20" xfId="43" applyNumberFormat="1" applyFont="1" applyFill="1" applyBorder="1" applyAlignment="1" applyProtection="1">
      <alignment/>
      <protection/>
    </xf>
    <xf numFmtId="167" fontId="38" fillId="0" borderId="20" xfId="43" applyNumberFormat="1" applyFont="1" applyFill="1" applyBorder="1" applyAlignment="1" applyProtection="1">
      <alignment/>
      <protection/>
    </xf>
    <xf numFmtId="0" fontId="38" fillId="0" borderId="32" xfId="0" applyFont="1" applyFill="1" applyBorder="1" applyAlignment="1">
      <alignment horizontal="left" wrapText="1"/>
    </xf>
    <xf numFmtId="49" fontId="90" fillId="13" borderId="33" xfId="76" applyNumberFormat="1" applyFont="1" applyFill="1" applyBorder="1" applyAlignment="1">
      <alignment horizontal="center"/>
      <protection/>
    </xf>
    <xf numFmtId="0" fontId="39" fillId="34" borderId="32" xfId="0" applyFont="1" applyFill="1" applyBorder="1" applyAlignment="1">
      <alignment horizontal="left" wrapText="1"/>
    </xf>
    <xf numFmtId="3" fontId="39" fillId="34" borderId="20" xfId="0" applyNumberFormat="1" applyFont="1" applyFill="1" applyBorder="1" applyAlignment="1" applyProtection="1">
      <alignment/>
      <protection hidden="1"/>
    </xf>
    <xf numFmtId="165" fontId="39" fillId="34" borderId="20" xfId="41" applyFont="1" applyFill="1" applyBorder="1" applyAlignment="1" applyProtection="1">
      <alignment/>
      <protection hidden="1"/>
    </xf>
    <xf numFmtId="49" fontId="90" fillId="0" borderId="20" xfId="76" applyNumberFormat="1" applyFont="1" applyBorder="1" applyAlignment="1">
      <alignment horizontal="center"/>
      <protection/>
    </xf>
    <xf numFmtId="0" fontId="39" fillId="33" borderId="20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left" wrapText="1"/>
    </xf>
    <xf numFmtId="3" fontId="6" fillId="33" borderId="20" xfId="43" applyNumberFormat="1" applyFont="1" applyFill="1" applyBorder="1" applyAlignment="1" applyProtection="1">
      <alignment/>
      <protection/>
    </xf>
    <xf numFmtId="3" fontId="6" fillId="33" borderId="20" xfId="43" applyNumberFormat="1" applyFont="1" applyFill="1" applyBorder="1" applyAlignment="1" applyProtection="1">
      <alignment horizontal="center"/>
      <protection/>
    </xf>
    <xf numFmtId="3" fontId="38" fillId="33" borderId="20" xfId="43" applyNumberFormat="1" applyFont="1" applyFill="1" applyBorder="1" applyAlignment="1" applyProtection="1">
      <alignment/>
      <protection/>
    </xf>
    <xf numFmtId="3" fontId="38" fillId="0" borderId="20" xfId="43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 horizontal="right"/>
    </xf>
    <xf numFmtId="3" fontId="38" fillId="33" borderId="20" xfId="43" applyNumberFormat="1" applyFont="1" applyFill="1" applyBorder="1" applyAlignment="1" applyProtection="1">
      <alignment horizontal="right"/>
      <protection/>
    </xf>
    <xf numFmtId="3" fontId="38" fillId="0" borderId="20" xfId="43" applyNumberFormat="1" applyFont="1" applyFill="1" applyBorder="1" applyAlignment="1" applyProtection="1">
      <alignment horizontal="right"/>
      <protection/>
    </xf>
    <xf numFmtId="0" fontId="38" fillId="0" borderId="0" xfId="69" applyFont="1" applyFill="1">
      <alignment/>
      <protection/>
    </xf>
    <xf numFmtId="0" fontId="39" fillId="0" borderId="0" xfId="69" applyFont="1" applyFill="1" applyBorder="1" applyAlignment="1">
      <alignment horizontal="center"/>
      <protection/>
    </xf>
    <xf numFmtId="0" fontId="39" fillId="0" borderId="0" xfId="69" applyFont="1" applyFill="1" applyAlignment="1">
      <alignment/>
      <protection/>
    </xf>
    <xf numFmtId="0" fontId="38" fillId="0" borderId="0" xfId="69" applyFont="1" applyFill="1" applyAlignment="1">
      <alignment horizontal="center"/>
      <protection/>
    </xf>
    <xf numFmtId="0" fontId="38" fillId="0" borderId="32" xfId="69" applyFont="1" applyFill="1" applyBorder="1">
      <alignment/>
      <protection/>
    </xf>
    <xf numFmtId="0" fontId="38" fillId="0" borderId="0" xfId="69" applyFont="1" applyFill="1" applyAlignment="1">
      <alignment horizontal="right"/>
      <protection/>
    </xf>
    <xf numFmtId="0" fontId="38" fillId="0" borderId="20" xfId="69" applyFont="1" applyFill="1" applyBorder="1" applyAlignment="1">
      <alignment horizontal="center"/>
      <protection/>
    </xf>
    <xf numFmtId="0" fontId="38" fillId="0" borderId="0" xfId="69" applyFont="1" applyFill="1" applyAlignment="1">
      <alignment horizontal="center" vertical="center" wrapText="1"/>
      <protection/>
    </xf>
    <xf numFmtId="0" fontId="38" fillId="0" borderId="34" xfId="69" applyFont="1" applyFill="1" applyBorder="1">
      <alignment/>
      <protection/>
    </xf>
    <xf numFmtId="0" fontId="38" fillId="0" borderId="35" xfId="69" applyFont="1" applyFill="1" applyBorder="1" applyAlignment="1">
      <alignment horizontal="right"/>
      <protection/>
    </xf>
    <xf numFmtId="0" fontId="38" fillId="0" borderId="36" xfId="69" applyFont="1" applyFill="1" applyBorder="1" applyAlignment="1">
      <alignment horizontal="right"/>
      <protection/>
    </xf>
    <xf numFmtId="3" fontId="38" fillId="0" borderId="29" xfId="69" applyNumberFormat="1" applyFont="1" applyFill="1" applyBorder="1">
      <alignment/>
      <protection/>
    </xf>
    <xf numFmtId="3" fontId="38" fillId="0" borderId="20" xfId="69" applyNumberFormat="1" applyFont="1" applyFill="1" applyBorder="1" applyAlignment="1">
      <alignment horizontal="right"/>
      <protection/>
    </xf>
    <xf numFmtId="0" fontId="38" fillId="0" borderId="29" xfId="69" applyFont="1" applyFill="1" applyBorder="1" applyAlignment="1">
      <alignment horizontal="center"/>
      <protection/>
    </xf>
    <xf numFmtId="0" fontId="38" fillId="0" borderId="25" xfId="69" applyFont="1" applyFill="1" applyBorder="1" applyAlignment="1">
      <alignment horizontal="center"/>
      <protection/>
    </xf>
    <xf numFmtId="0" fontId="38" fillId="0" borderId="37" xfId="69" applyFont="1" applyFill="1" applyBorder="1">
      <alignment/>
      <protection/>
    </xf>
    <xf numFmtId="3" fontId="38" fillId="0" borderId="25" xfId="69" applyNumberFormat="1" applyFont="1" applyFill="1" applyBorder="1">
      <alignment/>
      <protection/>
    </xf>
    <xf numFmtId="0" fontId="38" fillId="0" borderId="38" xfId="69" applyFont="1" applyFill="1" applyBorder="1" applyAlignment="1">
      <alignment horizontal="right"/>
      <protection/>
    </xf>
    <xf numFmtId="0" fontId="39" fillId="0" borderId="21" xfId="69" applyFont="1" applyFill="1" applyBorder="1" applyAlignment="1">
      <alignment horizontal="center"/>
      <protection/>
    </xf>
    <xf numFmtId="0" fontId="39" fillId="0" borderId="39" xfId="69" applyFont="1" applyFill="1" applyBorder="1">
      <alignment/>
      <protection/>
    </xf>
    <xf numFmtId="3" fontId="39" fillId="0" borderId="22" xfId="69" applyNumberFormat="1" applyFont="1" applyFill="1" applyBorder="1" applyAlignment="1">
      <alignment horizontal="right"/>
      <protection/>
    </xf>
    <xf numFmtId="0" fontId="39" fillId="0" borderId="40" xfId="69" applyFont="1" applyFill="1" applyBorder="1" applyAlignment="1">
      <alignment horizontal="right"/>
      <protection/>
    </xf>
    <xf numFmtId="0" fontId="39" fillId="0" borderId="30" xfId="69" applyFont="1" applyFill="1" applyBorder="1" applyAlignment="1">
      <alignment horizontal="center" vertical="center" wrapText="1"/>
      <protection/>
    </xf>
    <xf numFmtId="0" fontId="39" fillId="0" borderId="41" xfId="69" applyFont="1" applyFill="1" applyBorder="1" applyAlignment="1">
      <alignment horizontal="center" vertical="center" wrapText="1"/>
      <protection/>
    </xf>
    <xf numFmtId="0" fontId="17" fillId="0" borderId="29" xfId="69" applyFont="1" applyFill="1" applyBorder="1" applyAlignment="1">
      <alignment horizontal="center"/>
      <protection/>
    </xf>
    <xf numFmtId="0" fontId="16" fillId="0" borderId="29" xfId="69" applyFont="1" applyFill="1" applyBorder="1" applyAlignment="1">
      <alignment horizontal="center"/>
      <protection/>
    </xf>
    <xf numFmtId="0" fontId="17" fillId="0" borderId="30" xfId="69" applyFont="1" applyFill="1" applyBorder="1" applyAlignment="1">
      <alignment horizontal="center" vertical="center" wrapText="1"/>
      <protection/>
    </xf>
    <xf numFmtId="0" fontId="17" fillId="0" borderId="41" xfId="69" applyFont="1" applyFill="1" applyBorder="1" applyAlignment="1">
      <alignment horizontal="center" vertical="center" wrapText="1"/>
      <protection/>
    </xf>
    <xf numFmtId="0" fontId="16" fillId="0" borderId="29" xfId="69" applyFont="1" applyFill="1" applyBorder="1">
      <alignment/>
      <protection/>
    </xf>
    <xf numFmtId="3" fontId="16" fillId="0" borderId="29" xfId="69" applyNumberFormat="1" applyFont="1" applyFill="1" applyBorder="1" applyAlignment="1">
      <alignment horizontal="right"/>
      <protection/>
    </xf>
    <xf numFmtId="0" fontId="16" fillId="0" borderId="20" xfId="69" applyFont="1" applyFill="1" applyBorder="1" applyAlignment="1">
      <alignment horizontal="center"/>
      <protection/>
    </xf>
    <xf numFmtId="3" fontId="16" fillId="0" borderId="20" xfId="69" applyNumberFormat="1" applyFont="1" applyFill="1" applyBorder="1" applyAlignment="1">
      <alignment horizontal="right" wrapText="1"/>
      <protection/>
    </xf>
    <xf numFmtId="0" fontId="16" fillId="0" borderId="25" xfId="69" applyFont="1" applyFill="1" applyBorder="1" applyAlignment="1">
      <alignment horizontal="center"/>
      <protection/>
    </xf>
    <xf numFmtId="0" fontId="16" fillId="0" borderId="25" xfId="69" applyFont="1" applyFill="1" applyBorder="1">
      <alignment/>
      <protection/>
    </xf>
    <xf numFmtId="0" fontId="16" fillId="0" borderId="21" xfId="69" applyFont="1" applyFill="1" applyBorder="1">
      <alignment/>
      <protection/>
    </xf>
    <xf numFmtId="0" fontId="17" fillId="0" borderId="23" xfId="69" applyFont="1" applyFill="1" applyBorder="1" applyAlignment="1">
      <alignment/>
      <protection/>
    </xf>
    <xf numFmtId="3" fontId="17" fillId="0" borderId="42" xfId="69" applyNumberFormat="1" applyFont="1" applyFill="1" applyBorder="1" applyAlignment="1">
      <alignment horizontal="right"/>
      <protection/>
    </xf>
    <xf numFmtId="3" fontId="17" fillId="0" borderId="22" xfId="69" applyNumberFormat="1" applyFont="1" applyFill="1" applyBorder="1" applyAlignment="1">
      <alignment horizontal="right"/>
      <protection/>
    </xf>
    <xf numFmtId="3" fontId="17" fillId="0" borderId="23" xfId="69" applyNumberFormat="1" applyFont="1" applyFill="1" applyBorder="1" applyAlignment="1">
      <alignment horizontal="right"/>
      <protection/>
    </xf>
    <xf numFmtId="171" fontId="38" fillId="0" borderId="0" xfId="46" applyNumberFormat="1" applyFont="1" applyAlignment="1">
      <alignment horizontal="right"/>
    </xf>
    <xf numFmtId="0" fontId="24" fillId="0" borderId="0" xfId="67" applyFont="1" applyAlignment="1">
      <alignment horizontal="left"/>
      <protection/>
    </xf>
    <xf numFmtId="0" fontId="33" fillId="0" borderId="20" xfId="67" applyFont="1" applyFill="1" applyBorder="1" applyAlignment="1">
      <alignment vertical="center" wrapText="1"/>
      <protection/>
    </xf>
    <xf numFmtId="0" fontId="24" fillId="0" borderId="20" xfId="67" applyFont="1" applyBorder="1" applyAlignment="1">
      <alignment horizontal="center"/>
      <protection/>
    </xf>
    <xf numFmtId="3" fontId="24" fillId="0" borderId="20" xfId="67" applyNumberFormat="1" applyFont="1" applyFill="1" applyBorder="1">
      <alignment/>
      <protection/>
    </xf>
    <xf numFmtId="3" fontId="11" fillId="0" borderId="20" xfId="67" applyNumberFormat="1" applyFont="1" applyFill="1" applyBorder="1">
      <alignment/>
      <protection/>
    </xf>
    <xf numFmtId="0" fontId="13" fillId="0" borderId="20" xfId="67" applyFont="1" applyBorder="1" applyAlignment="1">
      <alignment/>
      <protection/>
    </xf>
    <xf numFmtId="0" fontId="11" fillId="0" borderId="20" xfId="67" applyFont="1" applyBorder="1">
      <alignment/>
      <protection/>
    </xf>
    <xf numFmtId="0" fontId="13" fillId="0" borderId="20" xfId="67" applyFont="1" applyFill="1" applyBorder="1" applyAlignment="1">
      <alignment/>
      <protection/>
    </xf>
    <xf numFmtId="3" fontId="4" fillId="0" borderId="20" xfId="67" applyNumberFormat="1" applyFont="1" applyFill="1" applyBorder="1">
      <alignment/>
      <protection/>
    </xf>
    <xf numFmtId="195" fontId="4" fillId="0" borderId="20" xfId="46" applyNumberFormat="1" applyFont="1" applyBorder="1" applyAlignment="1">
      <alignment horizontal="right"/>
    </xf>
    <xf numFmtId="0" fontId="13" fillId="0" borderId="24" xfId="67" applyFont="1" applyBorder="1" applyAlignment="1">
      <alignment/>
      <protection/>
    </xf>
    <xf numFmtId="0" fontId="24" fillId="0" borderId="29" xfId="67" applyFont="1" applyFill="1" applyBorder="1" applyAlignment="1">
      <alignment vertical="center" wrapText="1"/>
      <protection/>
    </xf>
    <xf numFmtId="0" fontId="33" fillId="0" borderId="29" xfId="67" applyFont="1" applyFill="1" applyBorder="1" applyAlignment="1">
      <alignment horizontal="center" vertical="center" wrapText="1"/>
      <protection/>
    </xf>
    <xf numFmtId="3" fontId="24" fillId="0" borderId="29" xfId="67" applyNumberFormat="1" applyFont="1" applyFill="1" applyBorder="1" applyAlignment="1">
      <alignment horizontal="center" vertical="center" wrapText="1"/>
      <protection/>
    </xf>
    <xf numFmtId="3" fontId="33" fillId="0" borderId="23" xfId="67" applyNumberFormat="1" applyFont="1" applyBorder="1">
      <alignment/>
      <protection/>
    </xf>
    <xf numFmtId="0" fontId="24" fillId="0" borderId="0" xfId="67" applyFont="1" applyAlignment="1">
      <alignment horizontal="center"/>
      <protection/>
    </xf>
    <xf numFmtId="0" fontId="24" fillId="0" borderId="24" xfId="67" applyFont="1" applyBorder="1">
      <alignment/>
      <protection/>
    </xf>
    <xf numFmtId="0" fontId="33" fillId="0" borderId="0" xfId="67" applyFont="1" applyAlignment="1">
      <alignment horizontal="center"/>
      <protection/>
    </xf>
    <xf numFmtId="0" fontId="24" fillId="0" borderId="0" xfId="69" applyFont="1" applyFill="1" applyAlignment="1">
      <alignment horizontal="left"/>
      <protection/>
    </xf>
    <xf numFmtId="0" fontId="33" fillId="0" borderId="0" xfId="67" applyFont="1" applyBorder="1" applyAlignment="1">
      <alignment vertical="center" wrapText="1"/>
      <protection/>
    </xf>
    <xf numFmtId="0" fontId="38" fillId="0" borderId="0" xfId="67" applyFont="1">
      <alignment/>
      <protection/>
    </xf>
    <xf numFmtId="0" fontId="24" fillId="0" borderId="32" xfId="67" applyFont="1" applyBorder="1">
      <alignment/>
      <protection/>
    </xf>
    <xf numFmtId="0" fontId="24" fillId="0" borderId="37" xfId="67" applyFont="1" applyBorder="1">
      <alignment/>
      <protection/>
    </xf>
    <xf numFmtId="0" fontId="33" fillId="0" borderId="37" xfId="67" applyFont="1" applyFill="1" applyBorder="1">
      <alignment/>
      <protection/>
    </xf>
    <xf numFmtId="3" fontId="33" fillId="0" borderId="21" xfId="67" applyNumberFormat="1" applyFont="1" applyFill="1" applyBorder="1" applyAlignment="1">
      <alignment horizontal="center" vertical="center" wrapText="1"/>
      <protection/>
    </xf>
    <xf numFmtId="0" fontId="33" fillId="0" borderId="22" xfId="67" applyFont="1" applyFill="1" applyBorder="1" applyAlignment="1">
      <alignment horizontal="center" vertical="center" wrapText="1"/>
      <protection/>
    </xf>
    <xf numFmtId="0" fontId="33" fillId="0" borderId="23" xfId="67" applyFont="1" applyFill="1" applyBorder="1" applyAlignment="1">
      <alignment horizontal="center" vertical="center" wrapText="1"/>
      <protection/>
    </xf>
    <xf numFmtId="0" fontId="25" fillId="0" borderId="0" xfId="67" applyFont="1" applyBorder="1" applyAlignment="1">
      <alignment horizontal="center" vertical="center" wrapText="1"/>
      <protection/>
    </xf>
    <xf numFmtId="0" fontId="27" fillId="0" borderId="0" xfId="67" applyFont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 wrapText="1"/>
    </xf>
    <xf numFmtId="3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wrapText="1"/>
    </xf>
    <xf numFmtId="0" fontId="33" fillId="33" borderId="0" xfId="0" applyFont="1" applyFill="1" applyAlignment="1">
      <alignment/>
    </xf>
    <xf numFmtId="3" fontId="33" fillId="0" borderId="20" xfId="0" applyNumberFormat="1" applyFont="1" applyFill="1" applyBorder="1" applyAlignment="1">
      <alignment horizontal="right"/>
    </xf>
    <xf numFmtId="0" fontId="16" fillId="33" borderId="0" xfId="0" applyFont="1" applyFill="1" applyAlignment="1">
      <alignment/>
    </xf>
    <xf numFmtId="171" fontId="16" fillId="33" borderId="0" xfId="41" applyNumberFormat="1" applyFont="1" applyFill="1" applyAlignment="1">
      <alignment/>
    </xf>
    <xf numFmtId="171" fontId="16" fillId="33" borderId="0" xfId="41" applyNumberFormat="1" applyFont="1" applyFill="1" applyBorder="1" applyAlignment="1">
      <alignment/>
    </xf>
    <xf numFmtId="171" fontId="16" fillId="33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 horizontal="right" vertical="center"/>
    </xf>
    <xf numFmtId="188" fontId="16" fillId="33" borderId="0" xfId="0" applyNumberFormat="1" applyFont="1" applyFill="1" applyAlignment="1">
      <alignment/>
    </xf>
    <xf numFmtId="171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Alignment="1">
      <alignment/>
    </xf>
    <xf numFmtId="0" fontId="33" fillId="33" borderId="2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24" fillId="0" borderId="0" xfId="70" applyFont="1">
      <alignment/>
      <protection/>
    </xf>
    <xf numFmtId="0" fontId="24" fillId="0" borderId="0" xfId="70" applyFont="1" applyAlignment="1">
      <alignment vertical="center"/>
      <protection/>
    </xf>
    <xf numFmtId="0" fontId="24" fillId="0" borderId="43" xfId="70" applyFont="1" applyBorder="1" applyAlignment="1">
      <alignment vertical="center"/>
      <protection/>
    </xf>
    <xf numFmtId="0" fontId="24" fillId="0" borderId="44" xfId="70" applyFont="1" applyBorder="1" applyAlignment="1">
      <alignment vertical="center"/>
      <protection/>
    </xf>
    <xf numFmtId="3" fontId="24" fillId="35" borderId="45" xfId="70" applyNumberFormat="1" applyFont="1" applyFill="1" applyBorder="1" applyAlignment="1" quotePrefix="1">
      <alignment horizontal="center" vertical="center"/>
      <protection/>
    </xf>
    <xf numFmtId="3" fontId="24" fillId="35" borderId="46" xfId="70" applyNumberFormat="1" applyFont="1" applyFill="1" applyBorder="1" applyAlignment="1" quotePrefix="1">
      <alignment horizontal="center" vertical="center"/>
      <protection/>
    </xf>
    <xf numFmtId="3" fontId="24" fillId="35" borderId="47" xfId="70" applyNumberFormat="1" applyFont="1" applyFill="1" applyBorder="1" applyAlignment="1" quotePrefix="1">
      <alignment horizontal="center" vertical="center"/>
      <protection/>
    </xf>
    <xf numFmtId="3" fontId="24" fillId="35" borderId="48" xfId="70" applyNumberFormat="1" applyFont="1" applyFill="1" applyBorder="1" applyAlignment="1" quotePrefix="1">
      <alignment horizontal="center" vertical="center"/>
      <protection/>
    </xf>
    <xf numFmtId="3" fontId="24" fillId="35" borderId="49" xfId="70" applyNumberFormat="1" applyFont="1" applyFill="1" applyBorder="1" applyAlignment="1" quotePrefix="1">
      <alignment horizontal="center" vertical="center"/>
      <protection/>
    </xf>
    <xf numFmtId="0" fontId="33" fillId="0" borderId="43" xfId="70" applyFont="1" applyBorder="1" applyAlignment="1">
      <alignment vertical="center"/>
      <protection/>
    </xf>
    <xf numFmtId="173" fontId="24" fillId="0" borderId="20" xfId="70" applyNumberFormat="1" applyFont="1" applyFill="1" applyBorder="1" applyAlignment="1">
      <alignment horizontal="center" vertical="center"/>
      <protection/>
    </xf>
    <xf numFmtId="173" fontId="24" fillId="0" borderId="33" xfId="70" applyNumberFormat="1" applyFont="1" applyFill="1" applyBorder="1" applyAlignment="1">
      <alignment horizontal="center" vertical="center"/>
      <protection/>
    </xf>
    <xf numFmtId="49" fontId="24" fillId="0" borderId="43" xfId="70" applyNumberFormat="1" applyFont="1" applyBorder="1" applyAlignment="1">
      <alignment vertical="center"/>
      <protection/>
    </xf>
    <xf numFmtId="0" fontId="24" fillId="0" borderId="43" xfId="70" applyFont="1" applyBorder="1" applyAlignment="1">
      <alignment vertical="center" wrapText="1"/>
      <protection/>
    </xf>
    <xf numFmtId="0" fontId="44" fillId="0" borderId="43" xfId="70" applyFont="1" applyBorder="1" applyAlignment="1">
      <alignment vertical="center"/>
      <protection/>
    </xf>
    <xf numFmtId="2" fontId="24" fillId="0" borderId="33" xfId="70" applyNumberFormat="1" applyFont="1" applyFill="1" applyBorder="1" applyAlignment="1">
      <alignment horizontal="center" vertical="center"/>
      <protection/>
    </xf>
    <xf numFmtId="2" fontId="24" fillId="0" borderId="20" xfId="70" applyNumberFormat="1" applyFont="1" applyFill="1" applyBorder="1" applyAlignment="1">
      <alignment horizontal="center" vertical="center"/>
      <protection/>
    </xf>
    <xf numFmtId="1" fontId="24" fillId="0" borderId="33" xfId="70" applyNumberFormat="1" applyFont="1" applyFill="1" applyBorder="1" applyAlignment="1">
      <alignment horizontal="center" vertical="center"/>
      <protection/>
    </xf>
    <xf numFmtId="0" fontId="24" fillId="0" borderId="0" xfId="70" applyFont="1" applyFill="1" applyBorder="1" applyAlignment="1">
      <alignment vertical="center"/>
      <protection/>
    </xf>
    <xf numFmtId="3" fontId="24" fillId="0" borderId="0" xfId="70" applyNumberFormat="1" applyFont="1" applyAlignment="1">
      <alignment vertical="center"/>
      <protection/>
    </xf>
    <xf numFmtId="0" fontId="24" fillId="0" borderId="0" xfId="70" applyFont="1" applyAlignment="1">
      <alignment horizontal="right"/>
      <protection/>
    </xf>
    <xf numFmtId="0" fontId="24" fillId="33" borderId="0" xfId="0" applyFont="1" applyFill="1" applyBorder="1" applyAlignment="1">
      <alignment/>
    </xf>
    <xf numFmtId="0" fontId="33" fillId="0" borderId="50" xfId="70" applyFont="1" applyBorder="1" applyAlignment="1">
      <alignment vertical="center"/>
      <protection/>
    </xf>
    <xf numFmtId="1" fontId="33" fillId="0" borderId="51" xfId="70" applyNumberFormat="1" applyFont="1" applyFill="1" applyBorder="1" applyAlignment="1">
      <alignment horizontal="center" vertical="center"/>
      <protection/>
    </xf>
    <xf numFmtId="3" fontId="33" fillId="36" borderId="21" xfId="70" applyNumberFormat="1" applyFont="1" applyFill="1" applyBorder="1" applyAlignment="1">
      <alignment horizontal="center" vertical="center"/>
      <protection/>
    </xf>
    <xf numFmtId="0" fontId="24" fillId="0" borderId="0" xfId="67" applyFont="1" applyAlignment="1">
      <alignment horizontal="left" vertical="center"/>
      <protection/>
    </xf>
    <xf numFmtId="0" fontId="24" fillId="0" borderId="29" xfId="67" applyFont="1" applyBorder="1" applyAlignment="1">
      <alignment horizontal="center"/>
      <protection/>
    </xf>
    <xf numFmtId="0" fontId="24" fillId="0" borderId="29" xfId="67" applyFont="1" applyBorder="1">
      <alignment/>
      <protection/>
    </xf>
    <xf numFmtId="0" fontId="38" fillId="0" borderId="0" xfId="0" applyFont="1" applyAlignment="1">
      <alignment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2" xfId="0" applyFont="1" applyBorder="1" applyAlignment="1">
      <alignment/>
    </xf>
    <xf numFmtId="3" fontId="20" fillId="0" borderId="53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0" fontId="17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0" fontId="24" fillId="0" borderId="0" xfId="67" applyFont="1" applyFill="1" applyAlignment="1">
      <alignment horizontal="right"/>
      <protection/>
    </xf>
    <xf numFmtId="0" fontId="33" fillId="0" borderId="0" xfId="67" applyFont="1" applyFill="1" applyAlignment="1">
      <alignment horizontal="center"/>
      <protection/>
    </xf>
    <xf numFmtId="0" fontId="33" fillId="0" borderId="21" xfId="67" applyFont="1" applyFill="1" applyBorder="1" applyAlignment="1">
      <alignment horizontal="center" vertical="center"/>
      <protection/>
    </xf>
    <xf numFmtId="3" fontId="33" fillId="0" borderId="22" xfId="67" applyNumberFormat="1" applyFont="1" applyFill="1" applyBorder="1" applyAlignment="1">
      <alignment horizontal="center" vertical="center" wrapText="1"/>
      <protection/>
    </xf>
    <xf numFmtId="3" fontId="33" fillId="0" borderId="23" xfId="67" applyNumberFormat="1" applyFont="1" applyFill="1" applyBorder="1" applyAlignment="1">
      <alignment horizontal="center" vertical="center" wrapText="1"/>
      <protection/>
    </xf>
    <xf numFmtId="0" fontId="24" fillId="0" borderId="47" xfId="67" applyFont="1" applyFill="1" applyBorder="1" applyAlignment="1">
      <alignment horizontal="center" wrapText="1"/>
      <protection/>
    </xf>
    <xf numFmtId="3" fontId="33" fillId="0" borderId="24" xfId="67" applyNumberFormat="1" applyFont="1" applyFill="1" applyBorder="1" applyAlignment="1">
      <alignment horizontal="left" wrapText="1"/>
      <protection/>
    </xf>
    <xf numFmtId="3" fontId="24" fillId="0" borderId="24" xfId="67" applyNumberFormat="1" applyFont="1" applyFill="1" applyBorder="1" applyAlignment="1">
      <alignment horizontal="left" wrapText="1"/>
      <protection/>
    </xf>
    <xf numFmtId="0" fontId="24" fillId="0" borderId="33" xfId="67" applyFont="1" applyFill="1" applyBorder="1" applyAlignment="1">
      <alignment horizontal="center" wrapText="1"/>
      <protection/>
    </xf>
    <xf numFmtId="3" fontId="33" fillId="0" borderId="20" xfId="67" applyNumberFormat="1" applyFont="1" applyFill="1" applyBorder="1" applyAlignment="1">
      <alignment horizontal="left" wrapText="1"/>
      <protection/>
    </xf>
    <xf numFmtId="3" fontId="24" fillId="0" borderId="20" xfId="67" applyNumberFormat="1" applyFont="1" applyFill="1" applyBorder="1" applyAlignment="1">
      <alignment horizontal="right" wrapText="1"/>
      <protection/>
    </xf>
    <xf numFmtId="3" fontId="33" fillId="0" borderId="58" xfId="67" applyNumberFormat="1" applyFont="1" applyFill="1" applyBorder="1" applyAlignment="1">
      <alignment horizontal="right" wrapText="1"/>
      <protection/>
    </xf>
    <xf numFmtId="0" fontId="24" fillId="0" borderId="33" xfId="67" applyFont="1" applyFill="1" applyBorder="1" applyAlignment="1">
      <alignment horizontal="left" wrapText="1"/>
      <protection/>
    </xf>
    <xf numFmtId="3" fontId="24" fillId="0" borderId="20" xfId="67" applyNumberFormat="1" applyFont="1" applyFill="1" applyBorder="1" applyAlignment="1" quotePrefix="1">
      <alignment horizontal="left" wrapText="1"/>
      <protection/>
    </xf>
    <xf numFmtId="3" fontId="24" fillId="0" borderId="20" xfId="67" applyNumberFormat="1" applyFont="1" applyFill="1" applyBorder="1" applyAlignment="1">
      <alignment horizontal="left" wrapText="1"/>
      <protection/>
    </xf>
    <xf numFmtId="0" fontId="24" fillId="0" borderId="21" xfId="67" applyFont="1" applyFill="1" applyBorder="1" applyAlignment="1">
      <alignment horizontal="left" wrapText="1"/>
      <protection/>
    </xf>
    <xf numFmtId="3" fontId="33" fillId="0" borderId="22" xfId="67" applyNumberFormat="1" applyFont="1" applyFill="1" applyBorder="1" applyAlignment="1">
      <alignment horizontal="left" wrapText="1"/>
      <protection/>
    </xf>
    <xf numFmtId="3" fontId="33" fillId="0" borderId="22" xfId="67" applyNumberFormat="1" applyFont="1" applyFill="1" applyBorder="1" applyAlignment="1">
      <alignment horizontal="right" wrapText="1"/>
      <protection/>
    </xf>
    <xf numFmtId="3" fontId="33" fillId="0" borderId="23" xfId="67" applyNumberFormat="1" applyFont="1" applyFill="1" applyBorder="1" applyAlignment="1">
      <alignment horizontal="right" wrapText="1"/>
      <protection/>
    </xf>
    <xf numFmtId="0" fontId="24" fillId="33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59" xfId="0" applyFont="1" applyFill="1" applyBorder="1" applyAlignment="1">
      <alignment wrapText="1"/>
    </xf>
    <xf numFmtId="0" fontId="4" fillId="0" borderId="60" xfId="0" applyFont="1" applyFill="1" applyBorder="1" applyAlignment="1">
      <alignment wrapText="1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1" fillId="0" borderId="20" xfId="0" applyFont="1" applyFill="1" applyBorder="1" applyAlignment="1">
      <alignment horizontal="left"/>
    </xf>
    <xf numFmtId="49" fontId="11" fillId="33" borderId="29" xfId="0" applyNumberFormat="1" applyFont="1" applyFill="1" applyBorder="1" applyAlignment="1" applyProtection="1">
      <alignment horizontal="left"/>
      <protection/>
    </xf>
    <xf numFmtId="0" fontId="11" fillId="33" borderId="29" xfId="0" applyFont="1" applyFill="1" applyBorder="1" applyAlignment="1" applyProtection="1">
      <alignment horizontal="left"/>
      <protection/>
    </xf>
    <xf numFmtId="3" fontId="11" fillId="0" borderId="29" xfId="0" applyNumberFormat="1" applyFont="1" applyFill="1" applyBorder="1" applyAlignment="1" applyProtection="1">
      <alignment horizontal="right"/>
      <protection/>
    </xf>
    <xf numFmtId="49" fontId="11" fillId="33" borderId="30" xfId="0" applyNumberFormat="1" applyFont="1" applyFill="1" applyBorder="1" applyAlignment="1" applyProtection="1">
      <alignment horizontal="left"/>
      <protection/>
    </xf>
    <xf numFmtId="0" fontId="11" fillId="33" borderId="30" xfId="0" applyFont="1" applyFill="1" applyBorder="1" applyAlignment="1" applyProtection="1">
      <alignment/>
      <protection/>
    </xf>
    <xf numFmtId="3" fontId="11" fillId="0" borderId="30" xfId="0" applyNumberFormat="1" applyFont="1" applyFill="1" applyBorder="1" applyAlignment="1" applyProtection="1">
      <alignment horizontal="right"/>
      <protection/>
    </xf>
    <xf numFmtId="0" fontId="11" fillId="33" borderId="21" xfId="0" applyFont="1" applyFill="1" applyBorder="1" applyAlignment="1">
      <alignment horizontal="left"/>
    </xf>
    <xf numFmtId="3" fontId="4" fillId="33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 horizontal="right"/>
      <protection/>
    </xf>
    <xf numFmtId="3" fontId="11" fillId="0" borderId="29" xfId="0" applyNumberFormat="1" applyFont="1" applyFill="1" applyBorder="1" applyAlignment="1">
      <alignment/>
    </xf>
    <xf numFmtId="0" fontId="4" fillId="33" borderId="22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0" fontId="3" fillId="33" borderId="61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91" fillId="8" borderId="21" xfId="0" applyFont="1" applyFill="1" applyBorder="1" applyAlignment="1">
      <alignment horizontal="center" vertical="center" wrapText="1"/>
    </xf>
    <xf numFmtId="0" fontId="91" fillId="8" borderId="22" xfId="0" applyFont="1" applyFill="1" applyBorder="1" applyAlignment="1">
      <alignment horizontal="center" vertical="center" wrapText="1"/>
    </xf>
    <xf numFmtId="0" fontId="92" fillId="8" borderId="23" xfId="0" applyFont="1" applyFill="1" applyBorder="1" applyAlignment="1">
      <alignment horizontal="center" vertical="center" wrapText="1"/>
    </xf>
    <xf numFmtId="0" fontId="33" fillId="37" borderId="63" xfId="70" applyFont="1" applyFill="1" applyBorder="1" applyAlignment="1">
      <alignment horizontal="left" vertical="center"/>
      <protection/>
    </xf>
    <xf numFmtId="0" fontId="38" fillId="0" borderId="20" xfId="67" applyFont="1" applyBorder="1" applyAlignment="1">
      <alignment horizontal="left"/>
      <protection/>
    </xf>
    <xf numFmtId="0" fontId="39" fillId="0" borderId="20" xfId="67" applyFont="1" applyBorder="1" applyAlignment="1">
      <alignment horizontal="left" wrapText="1"/>
      <protection/>
    </xf>
    <xf numFmtId="16" fontId="38" fillId="0" borderId="20" xfId="67" applyNumberFormat="1" applyFont="1" applyBorder="1" applyAlignment="1">
      <alignment horizontal="left"/>
      <protection/>
    </xf>
    <xf numFmtId="14" fontId="38" fillId="0" borderId="20" xfId="67" applyNumberFormat="1" applyFont="1" applyBorder="1" applyAlignment="1">
      <alignment horizontal="left"/>
      <protection/>
    </xf>
    <xf numFmtId="16" fontId="39" fillId="19" borderId="24" xfId="67" applyNumberFormat="1" applyFont="1" applyFill="1" applyBorder="1" applyAlignment="1">
      <alignment horizontal="left"/>
      <protection/>
    </xf>
    <xf numFmtId="16" fontId="39" fillId="0" borderId="20" xfId="67" applyNumberFormat="1" applyFont="1" applyBorder="1" applyAlignment="1">
      <alignment horizontal="left"/>
      <protection/>
    </xf>
    <xf numFmtId="0" fontId="39" fillId="19" borderId="20" xfId="67" applyFont="1" applyFill="1" applyBorder="1" applyAlignment="1">
      <alignment wrapText="1"/>
      <protection/>
    </xf>
    <xf numFmtId="3" fontId="39" fillId="19" borderId="20" xfId="67" applyNumberFormat="1" applyFont="1" applyFill="1" applyBorder="1" applyAlignment="1">
      <alignment wrapText="1"/>
      <protection/>
    </xf>
    <xf numFmtId="16" fontId="39" fillId="19" borderId="20" xfId="67" applyNumberFormat="1" applyFont="1" applyFill="1" applyBorder="1" applyAlignment="1">
      <alignment horizontal="left"/>
      <protection/>
    </xf>
    <xf numFmtId="0" fontId="24" fillId="0" borderId="0" xfId="67" applyFont="1" applyAlignment="1">
      <alignment horizontal="right" vertical="center"/>
      <protection/>
    </xf>
    <xf numFmtId="0" fontId="39" fillId="0" borderId="0" xfId="67" applyFont="1" applyAlignment="1">
      <alignment vertical="center"/>
      <protection/>
    </xf>
    <xf numFmtId="171" fontId="22" fillId="0" borderId="0" xfId="41" applyNumberFormat="1" applyFont="1" applyAlignment="1">
      <alignment vertical="center"/>
    </xf>
    <xf numFmtId="171" fontId="39" fillId="0" borderId="0" xfId="46" applyNumberFormat="1" applyFont="1" applyAlignment="1">
      <alignment vertical="center"/>
    </xf>
    <xf numFmtId="0" fontId="49" fillId="0" borderId="0" xfId="67" applyFont="1" applyAlignment="1">
      <alignment horizontal="center" vertical="center"/>
      <protection/>
    </xf>
    <xf numFmtId="0" fontId="38" fillId="0" borderId="25" xfId="67" applyFont="1" applyBorder="1" applyAlignment="1">
      <alignment horizontal="left"/>
      <protection/>
    </xf>
    <xf numFmtId="0" fontId="39" fillId="19" borderId="21" xfId="67" applyFont="1" applyFill="1" applyBorder="1" applyAlignment="1">
      <alignment horizontal="center"/>
      <protection/>
    </xf>
    <xf numFmtId="0" fontId="39" fillId="19" borderId="22" xfId="67" applyFont="1" applyFill="1" applyBorder="1" applyAlignment="1">
      <alignment wrapText="1"/>
      <protection/>
    </xf>
    <xf numFmtId="3" fontId="39" fillId="19" borderId="23" xfId="67" applyNumberFormat="1" applyFont="1" applyFill="1" applyBorder="1" applyAlignment="1">
      <alignment wrapText="1"/>
      <protection/>
    </xf>
    <xf numFmtId="0" fontId="38" fillId="36" borderId="21" xfId="67" applyFont="1" applyFill="1" applyBorder="1" applyAlignment="1">
      <alignment horizontal="center" vertical="center"/>
      <protection/>
    </xf>
    <xf numFmtId="0" fontId="39" fillId="36" borderId="22" xfId="67" applyFont="1" applyFill="1" applyBorder="1" applyAlignment="1">
      <alignment/>
      <protection/>
    </xf>
    <xf numFmtId="3" fontId="33" fillId="36" borderId="23" xfId="67" applyNumberFormat="1" applyFont="1" applyFill="1" applyBorder="1" applyAlignment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 wrapText="1"/>
      <protection hidden="1"/>
    </xf>
    <xf numFmtId="0" fontId="8" fillId="33" borderId="65" xfId="0" applyFont="1" applyFill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39" fillId="33" borderId="20" xfId="41" applyFont="1" applyFill="1" applyBorder="1" applyAlignment="1" applyProtection="1">
      <alignment horizontal="right"/>
      <protection/>
    </xf>
    <xf numFmtId="165" fontId="38" fillId="33" borderId="20" xfId="41" applyFont="1" applyFill="1" applyBorder="1" applyAlignment="1" applyProtection="1">
      <alignment/>
      <protection/>
    </xf>
    <xf numFmtId="165" fontId="38" fillId="0" borderId="20" xfId="41" applyFont="1" applyFill="1" applyBorder="1" applyAlignment="1" applyProtection="1">
      <alignment horizontal="right"/>
      <protection/>
    </xf>
    <xf numFmtId="165" fontId="38" fillId="33" borderId="20" xfId="41" applyFont="1" applyFill="1" applyBorder="1" applyAlignment="1" applyProtection="1">
      <alignment horizontal="right"/>
      <protection/>
    </xf>
    <xf numFmtId="165" fontId="24" fillId="0" borderId="20" xfId="41" applyFont="1" applyFill="1" applyBorder="1" applyAlignment="1">
      <alignment horizontal="center" vertical="center"/>
    </xf>
    <xf numFmtId="0" fontId="24" fillId="0" borderId="0" xfId="70" applyFont="1" applyAlignment="1">
      <alignment vertical="center" wrapText="1"/>
      <protection/>
    </xf>
    <xf numFmtId="165" fontId="33" fillId="0" borderId="33" xfId="41" applyFont="1" applyFill="1" applyBorder="1" applyAlignment="1">
      <alignment horizontal="center" vertical="center"/>
    </xf>
    <xf numFmtId="165" fontId="44" fillId="0" borderId="33" xfId="41" applyFont="1" applyFill="1" applyBorder="1" applyAlignment="1">
      <alignment horizontal="center" vertical="center"/>
    </xf>
    <xf numFmtId="165" fontId="24" fillId="0" borderId="33" xfId="41" applyFont="1" applyFill="1" applyBorder="1" applyAlignment="1">
      <alignment horizontal="center" vertical="center"/>
    </xf>
    <xf numFmtId="165" fontId="24" fillId="0" borderId="58" xfId="41" applyFont="1" applyFill="1" applyBorder="1" applyAlignment="1">
      <alignment horizontal="center" vertical="center"/>
    </xf>
    <xf numFmtId="165" fontId="24" fillId="0" borderId="36" xfId="41" applyFont="1" applyFill="1" applyBorder="1" applyAlignment="1">
      <alignment horizontal="center" vertical="center"/>
    </xf>
    <xf numFmtId="165" fontId="33" fillId="0" borderId="20" xfId="41" applyFont="1" applyFill="1" applyBorder="1" applyAlignment="1">
      <alignment horizontal="center" vertical="center"/>
    </xf>
    <xf numFmtId="165" fontId="33" fillId="0" borderId="25" xfId="41" applyFont="1" applyFill="1" applyBorder="1" applyAlignment="1">
      <alignment horizontal="center" vertical="center"/>
    </xf>
    <xf numFmtId="173" fontId="24" fillId="0" borderId="0" xfId="70" applyNumberFormat="1" applyFont="1" applyAlignment="1">
      <alignment vertical="center"/>
      <protection/>
    </xf>
    <xf numFmtId="173" fontId="33" fillId="0" borderId="33" xfId="70" applyNumberFormat="1" applyFont="1" applyFill="1" applyBorder="1" applyAlignment="1">
      <alignment horizontal="center" vertical="center"/>
      <protection/>
    </xf>
    <xf numFmtId="173" fontId="33" fillId="0" borderId="51" xfId="70" applyNumberFormat="1" applyFont="1" applyFill="1" applyBorder="1" applyAlignment="1">
      <alignment horizontal="center" vertical="center"/>
      <protection/>
    </xf>
    <xf numFmtId="173" fontId="24" fillId="0" borderId="58" xfId="70" applyNumberFormat="1" applyFont="1" applyFill="1" applyBorder="1" applyAlignment="1">
      <alignment horizontal="center" vertical="center"/>
      <protection/>
    </xf>
    <xf numFmtId="173" fontId="33" fillId="0" borderId="58" xfId="70" applyNumberFormat="1" applyFont="1" applyFill="1" applyBorder="1" applyAlignment="1">
      <alignment horizontal="center" vertical="center"/>
      <protection/>
    </xf>
    <xf numFmtId="173" fontId="33" fillId="0" borderId="66" xfId="70" applyNumberFormat="1" applyFont="1" applyFill="1" applyBorder="1" applyAlignment="1">
      <alignment horizontal="center" vertical="center"/>
      <protection/>
    </xf>
    <xf numFmtId="173" fontId="44" fillId="0" borderId="33" xfId="74" applyNumberFormat="1" applyFont="1" applyFill="1" applyBorder="1" applyAlignment="1">
      <alignment horizontal="center" vertical="center"/>
      <protection/>
    </xf>
    <xf numFmtId="173" fontId="44" fillId="0" borderId="67" xfId="74" applyNumberFormat="1" applyFont="1" applyFill="1" applyBorder="1" applyAlignment="1">
      <alignment horizontal="center" vertical="center"/>
      <protection/>
    </xf>
    <xf numFmtId="0" fontId="33" fillId="37" borderId="46" xfId="70" applyFont="1" applyFill="1" applyBorder="1" applyAlignment="1">
      <alignment horizontal="left" vertical="center"/>
      <protection/>
    </xf>
    <xf numFmtId="165" fontId="24" fillId="0" borderId="25" xfId="41" applyFont="1" applyFill="1" applyBorder="1" applyAlignment="1">
      <alignment horizontal="center" vertical="center"/>
    </xf>
    <xf numFmtId="172" fontId="24" fillId="0" borderId="33" xfId="70" applyNumberFormat="1" applyFont="1" applyFill="1" applyBorder="1" applyAlignment="1" quotePrefix="1">
      <alignment horizontal="center" vertical="center"/>
      <protection/>
    </xf>
    <xf numFmtId="172" fontId="24" fillId="0" borderId="20" xfId="70" applyNumberFormat="1" applyFont="1" applyFill="1" applyBorder="1" applyAlignment="1">
      <alignment horizontal="center" vertical="center"/>
      <protection/>
    </xf>
    <xf numFmtId="172" fontId="24" fillId="0" borderId="68" xfId="70" applyNumberFormat="1" applyFont="1" applyFill="1" applyBorder="1" applyAlignment="1">
      <alignment horizontal="center" vertical="center"/>
      <protection/>
    </xf>
    <xf numFmtId="172" fontId="24" fillId="0" borderId="58" xfId="70" applyNumberFormat="1" applyFont="1" applyFill="1" applyBorder="1" applyAlignment="1">
      <alignment horizontal="center" vertical="center"/>
      <protection/>
    </xf>
    <xf numFmtId="172" fontId="24" fillId="35" borderId="45" xfId="70" applyNumberFormat="1" applyFont="1" applyFill="1" applyBorder="1" applyAlignment="1" quotePrefix="1">
      <alignment horizontal="center" vertical="center"/>
      <protection/>
    </xf>
    <xf numFmtId="172" fontId="24" fillId="0" borderId="51" xfId="70" applyNumberFormat="1" applyFont="1" applyFill="1" applyBorder="1" applyAlignment="1">
      <alignment horizontal="center" vertical="center"/>
      <protection/>
    </xf>
    <xf numFmtId="172" fontId="24" fillId="35" borderId="46" xfId="70" applyNumberFormat="1" applyFont="1" applyFill="1" applyBorder="1" applyAlignment="1" quotePrefix="1">
      <alignment horizontal="center" vertical="center"/>
      <protection/>
    </xf>
    <xf numFmtId="172" fontId="33" fillId="36" borderId="69" xfId="70" applyNumberFormat="1" applyFont="1" applyFill="1" applyBorder="1" applyAlignment="1">
      <alignment horizontal="center" vertical="center"/>
      <protection/>
    </xf>
    <xf numFmtId="172" fontId="33" fillId="36" borderId="70" xfId="70" applyNumberFormat="1" applyFont="1" applyFill="1" applyBorder="1" applyAlignment="1">
      <alignment horizontal="center" vertical="center"/>
      <protection/>
    </xf>
    <xf numFmtId="173" fontId="24" fillId="0" borderId="36" xfId="70" applyNumberFormat="1" applyFont="1" applyFill="1" applyBorder="1" applyAlignment="1">
      <alignment horizontal="center" vertical="center"/>
      <protection/>
    </xf>
    <xf numFmtId="173" fontId="24" fillId="0" borderId="33" xfId="74" applyNumberFormat="1" applyFont="1" applyFill="1" applyBorder="1" applyAlignment="1">
      <alignment horizontal="center" vertical="center"/>
      <protection/>
    </xf>
    <xf numFmtId="173" fontId="24" fillId="0" borderId="20" xfId="74" applyNumberFormat="1" applyFont="1" applyFill="1" applyBorder="1" applyAlignment="1">
      <alignment horizontal="center" vertical="center"/>
      <protection/>
    </xf>
    <xf numFmtId="0" fontId="24" fillId="0" borderId="0" xfId="70" applyFont="1" applyFill="1">
      <alignment/>
      <protection/>
    </xf>
    <xf numFmtId="177" fontId="38" fillId="0" borderId="20" xfId="0" applyNumberFormat="1" applyFont="1" applyFill="1" applyBorder="1" applyAlignment="1">
      <alignment horizontal="center" vertical="center" wrapText="1"/>
    </xf>
    <xf numFmtId="14" fontId="38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177" fontId="38" fillId="0" borderId="20" xfId="0" applyNumberFormat="1" applyFont="1" applyFill="1" applyBorder="1" applyAlignment="1">
      <alignment horizontal="center" vertical="center"/>
    </xf>
    <xf numFmtId="14" fontId="38" fillId="0" borderId="20" xfId="0" applyNumberFormat="1" applyFont="1" applyFill="1" applyBorder="1" applyAlignment="1">
      <alignment horizontal="center" vertical="center"/>
    </xf>
    <xf numFmtId="0" fontId="33" fillId="0" borderId="20" xfId="67" applyFont="1" applyFill="1" applyBorder="1" applyAlignment="1">
      <alignment horizontal="center" vertical="center" wrapText="1"/>
      <protection/>
    </xf>
    <xf numFmtId="0" fontId="24" fillId="0" borderId="20" xfId="67" applyFont="1" applyBorder="1" applyAlignment="1">
      <alignment/>
      <protection/>
    </xf>
    <xf numFmtId="0" fontId="24" fillId="0" borderId="20" xfId="67" applyFont="1" applyFill="1" applyBorder="1" applyAlignment="1">
      <alignment vertical="center"/>
      <protection/>
    </xf>
    <xf numFmtId="0" fontId="23" fillId="0" borderId="30" xfId="67" applyFont="1" applyBorder="1">
      <alignment/>
      <protection/>
    </xf>
    <xf numFmtId="0" fontId="24" fillId="0" borderId="71" xfId="67" applyFont="1" applyBorder="1" applyAlignment="1">
      <alignment horizontal="center"/>
      <protection/>
    </xf>
    <xf numFmtId="0" fontId="23" fillId="0" borderId="72" xfId="67" applyFont="1" applyBorder="1">
      <alignment/>
      <protection/>
    </xf>
    <xf numFmtId="0" fontId="24" fillId="0" borderId="32" xfId="67" applyFont="1" applyBorder="1" applyAlignment="1">
      <alignment horizontal="center"/>
      <protection/>
    </xf>
    <xf numFmtId="0" fontId="13" fillId="0" borderId="73" xfId="67" applyFont="1" applyBorder="1" applyAlignment="1">
      <alignment/>
      <protection/>
    </xf>
    <xf numFmtId="171" fontId="13" fillId="0" borderId="36" xfId="46" applyNumberFormat="1" applyFont="1" applyBorder="1" applyAlignment="1">
      <alignment horizontal="right"/>
    </xf>
    <xf numFmtId="3" fontId="11" fillId="0" borderId="2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49" fontId="4" fillId="0" borderId="29" xfId="0" applyNumberFormat="1" applyFont="1" applyFill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left"/>
      <protection/>
    </xf>
    <xf numFmtId="3" fontId="4" fillId="0" borderId="29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Alignment="1">
      <alignment/>
    </xf>
    <xf numFmtId="49" fontId="11" fillId="0" borderId="20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left"/>
      <protection/>
    </xf>
    <xf numFmtId="0" fontId="11" fillId="0" borderId="20" xfId="0" applyFont="1" applyFill="1" applyBorder="1" applyAlignment="1" applyProtection="1">
      <alignment/>
      <protection/>
    </xf>
    <xf numFmtId="49" fontId="11" fillId="0" borderId="20" xfId="0" applyNumberFormat="1" applyFont="1" applyFill="1" applyBorder="1" applyAlignment="1" applyProtection="1">
      <alignment horizontal="left"/>
      <protection/>
    </xf>
    <xf numFmtId="0" fontId="11" fillId="0" borderId="20" xfId="0" applyFont="1" applyFill="1" applyBorder="1" applyAlignment="1" applyProtection="1">
      <alignment/>
      <protection/>
    </xf>
    <xf numFmtId="3" fontId="3" fillId="0" borderId="0" xfId="0" applyNumberFormat="1" applyFont="1" applyFill="1" applyAlignment="1">
      <alignment/>
    </xf>
    <xf numFmtId="165" fontId="4" fillId="0" borderId="20" xfId="4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0" xfId="0" applyNumberFormat="1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2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14" fillId="0" borderId="20" xfId="0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 horizontal="right"/>
      <protection/>
    </xf>
    <xf numFmtId="0" fontId="11" fillId="0" borderId="20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49" fontId="11" fillId="0" borderId="25" xfId="0" applyNumberFormat="1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left"/>
      <protection/>
    </xf>
    <xf numFmtId="0" fontId="11" fillId="0" borderId="25" xfId="0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 wrapText="1"/>
    </xf>
    <xf numFmtId="3" fontId="33" fillId="0" borderId="20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3" fontId="24" fillId="0" borderId="20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3" fontId="24" fillId="0" borderId="25" xfId="0" applyNumberFormat="1" applyFont="1" applyFill="1" applyBorder="1" applyAlignment="1">
      <alignment horizontal="right"/>
    </xf>
    <xf numFmtId="0" fontId="13" fillId="0" borderId="5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horizontal="right"/>
    </xf>
    <xf numFmtId="0" fontId="4" fillId="13" borderId="74" xfId="0" applyFont="1" applyFill="1" applyBorder="1" applyAlignment="1">
      <alignment horizontal="center"/>
    </xf>
    <xf numFmtId="0" fontId="4" fillId="13" borderId="42" xfId="0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171" fontId="33" fillId="33" borderId="0" xfId="0" applyNumberFormat="1" applyFont="1" applyFill="1" applyBorder="1" applyAlignment="1">
      <alignment/>
    </xf>
    <xf numFmtId="165" fontId="33" fillId="0" borderId="58" xfId="41" applyFont="1" applyFill="1" applyBorder="1" applyAlignment="1">
      <alignment vertical="center" wrapText="1"/>
    </xf>
    <xf numFmtId="165" fontId="24" fillId="0" borderId="20" xfId="41" applyFont="1" applyFill="1" applyBorder="1" applyAlignment="1">
      <alignment wrapText="1"/>
    </xf>
    <xf numFmtId="165" fontId="24" fillId="0" borderId="24" xfId="41" applyFont="1" applyFill="1" applyBorder="1" applyAlignment="1">
      <alignment horizontal="center" vertical="center" wrapText="1"/>
    </xf>
    <xf numFmtId="165" fontId="24" fillId="0" borderId="20" xfId="41" applyFont="1" applyFill="1" applyBorder="1" applyAlignment="1">
      <alignment vertical="center" wrapText="1"/>
    </xf>
    <xf numFmtId="3" fontId="23" fillId="0" borderId="0" xfId="67" applyNumberFormat="1" applyFont="1" applyFill="1" applyBorder="1" applyAlignment="1">
      <alignment vertical="center" wrapText="1"/>
      <protection/>
    </xf>
    <xf numFmtId="3" fontId="24" fillId="0" borderId="24" xfId="67" applyNumberFormat="1" applyFont="1" applyFill="1" applyBorder="1" applyAlignment="1">
      <alignment horizontal="right" wrapText="1"/>
      <protection/>
    </xf>
    <xf numFmtId="3" fontId="33" fillId="0" borderId="75" xfId="67" applyNumberFormat="1" applyFont="1" applyFill="1" applyBorder="1" applyAlignment="1">
      <alignment horizontal="right" wrapText="1"/>
      <protection/>
    </xf>
    <xf numFmtId="0" fontId="24" fillId="0" borderId="33" xfId="70" applyFont="1" applyBorder="1" applyAlignment="1">
      <alignment vertical="center"/>
      <protection/>
    </xf>
    <xf numFmtId="172" fontId="24" fillId="0" borderId="20" xfId="70" applyNumberFormat="1" applyFont="1" applyFill="1" applyBorder="1" applyAlignment="1" quotePrefix="1">
      <alignment horizontal="center" vertical="center"/>
      <protection/>
    </xf>
    <xf numFmtId="0" fontId="24" fillId="0" borderId="76" xfId="70" applyFont="1" applyBorder="1" applyAlignment="1">
      <alignment vertical="center"/>
      <protection/>
    </xf>
    <xf numFmtId="172" fontId="24" fillId="0" borderId="68" xfId="70" applyNumberFormat="1" applyFont="1" applyFill="1" applyBorder="1" applyAlignment="1" quotePrefix="1">
      <alignment horizontal="center" vertical="center"/>
      <protection/>
    </xf>
    <xf numFmtId="172" fontId="24" fillId="0" borderId="77" xfId="70" applyNumberFormat="1" applyFont="1" applyFill="1" applyBorder="1" applyAlignment="1">
      <alignment horizontal="center" vertical="center"/>
      <protection/>
    </xf>
    <xf numFmtId="165" fontId="24" fillId="35" borderId="45" xfId="41" applyFont="1" applyFill="1" applyBorder="1" applyAlignment="1" quotePrefix="1">
      <alignment horizontal="center" vertical="center"/>
    </xf>
    <xf numFmtId="165" fontId="24" fillId="0" borderId="68" xfId="41" applyFont="1" applyFill="1" applyBorder="1" applyAlignment="1">
      <alignment horizontal="center" vertical="center"/>
    </xf>
    <xf numFmtId="0" fontId="24" fillId="0" borderId="0" xfId="67" applyFont="1">
      <alignment/>
      <protection/>
    </xf>
    <xf numFmtId="0" fontId="42" fillId="0" borderId="29" xfId="67" applyFont="1" applyBorder="1" applyAlignment="1">
      <alignment horizontal="center"/>
      <protection/>
    </xf>
    <xf numFmtId="0" fontId="33" fillId="0" borderId="34" xfId="67" applyFont="1" applyBorder="1">
      <alignment/>
      <protection/>
    </xf>
    <xf numFmtId="3" fontId="33" fillId="0" borderId="29" xfId="67" applyNumberFormat="1" applyFont="1" applyBorder="1" applyAlignment="1">
      <alignment horizontal="right"/>
      <protection/>
    </xf>
    <xf numFmtId="3" fontId="24" fillId="0" borderId="20" xfId="67" applyNumberFormat="1" applyFont="1" applyBorder="1" applyAlignment="1">
      <alignment horizontal="right"/>
      <protection/>
    </xf>
    <xf numFmtId="0" fontId="24" fillId="0" borderId="25" xfId="67" applyFont="1" applyBorder="1" applyAlignment="1">
      <alignment horizontal="center"/>
      <protection/>
    </xf>
    <xf numFmtId="0" fontId="42" fillId="0" borderId="25" xfId="67" applyFont="1" applyBorder="1" applyAlignment="1">
      <alignment horizontal="center"/>
      <protection/>
    </xf>
    <xf numFmtId="3" fontId="33" fillId="0" borderId="20" xfId="67" applyNumberFormat="1" applyFont="1" applyBorder="1" applyAlignment="1">
      <alignment horizontal="right"/>
      <protection/>
    </xf>
    <xf numFmtId="3" fontId="24" fillId="0" borderId="25" xfId="67" applyNumberFormat="1" applyFont="1" applyBorder="1" applyAlignment="1">
      <alignment horizontal="right"/>
      <protection/>
    </xf>
    <xf numFmtId="3" fontId="33" fillId="0" borderId="29" xfId="67" applyNumberFormat="1" applyFont="1" applyBorder="1">
      <alignment/>
      <protection/>
    </xf>
    <xf numFmtId="165" fontId="15" fillId="13" borderId="20" xfId="41" applyFont="1" applyFill="1" applyBorder="1" applyAlignment="1" applyProtection="1">
      <alignment shrinkToFit="1"/>
      <protection/>
    </xf>
    <xf numFmtId="165" fontId="15" fillId="13" borderId="20" xfId="41" applyFont="1" applyFill="1" applyBorder="1" applyAlignment="1" applyProtection="1">
      <alignment/>
      <protection/>
    </xf>
    <xf numFmtId="3" fontId="15" fillId="36" borderId="20" xfId="43" applyNumberFormat="1" applyFont="1" applyFill="1" applyBorder="1" applyAlignment="1" applyProtection="1">
      <alignment shrinkToFit="1"/>
      <protection/>
    </xf>
    <xf numFmtId="167" fontId="15" fillId="0" borderId="0" xfId="43" applyNumberFormat="1" applyFont="1" applyFill="1" applyBorder="1" applyAlignment="1" applyProtection="1">
      <alignment shrinkToFit="1"/>
      <protection/>
    </xf>
    <xf numFmtId="167" fontId="15" fillId="0" borderId="0" xfId="43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>
      <alignment/>
    </xf>
    <xf numFmtId="165" fontId="15" fillId="0" borderId="20" xfId="41" applyFont="1" applyFill="1" applyBorder="1" applyAlignment="1" applyProtection="1">
      <alignment shrinkToFit="1"/>
      <protection/>
    </xf>
    <xf numFmtId="3" fontId="15" fillId="2" borderId="23" xfId="43" applyNumberFormat="1" applyFont="1" applyFill="1" applyBorder="1" applyAlignment="1" applyProtection="1">
      <alignment shrinkToFit="1"/>
      <protection/>
    </xf>
    <xf numFmtId="3" fontId="6" fillId="0" borderId="20" xfId="0" applyNumberFormat="1" applyFont="1" applyFill="1" applyBorder="1" applyAlignment="1" applyProtection="1">
      <alignment/>
      <protection hidden="1"/>
    </xf>
    <xf numFmtId="3" fontId="6" fillId="0" borderId="20" xfId="43" applyNumberFormat="1" applyFont="1" applyFill="1" applyBorder="1" applyAlignment="1" applyProtection="1">
      <alignment/>
      <protection/>
    </xf>
    <xf numFmtId="49" fontId="90" fillId="0" borderId="33" xfId="76" applyNumberFormat="1" applyFont="1" applyFill="1" applyBorder="1" applyAlignment="1">
      <alignment horizontal="center"/>
      <protection/>
    </xf>
    <xf numFmtId="3" fontId="38" fillId="0" borderId="20" xfId="0" applyNumberFormat="1" applyFont="1" applyFill="1" applyBorder="1" applyAlignment="1" applyProtection="1">
      <alignment/>
      <protection hidden="1"/>
    </xf>
    <xf numFmtId="3" fontId="38" fillId="0" borderId="36" xfId="43" applyNumberFormat="1" applyFont="1" applyFill="1" applyBorder="1" applyAlignment="1" applyProtection="1">
      <alignment/>
      <protection/>
    </xf>
    <xf numFmtId="3" fontId="39" fillId="0" borderId="20" xfId="43" applyNumberFormat="1" applyFont="1" applyFill="1" applyBorder="1" applyAlignment="1" applyProtection="1">
      <alignment horizontal="right"/>
      <protection/>
    </xf>
    <xf numFmtId="0" fontId="20" fillId="13" borderId="20" xfId="0" applyFont="1" applyFill="1" applyBorder="1" applyAlignment="1">
      <alignment horizontal="center"/>
    </xf>
    <xf numFmtId="0" fontId="39" fillId="13" borderId="20" xfId="0" applyFont="1" applyFill="1" applyBorder="1" applyAlignment="1">
      <alignment horizontal="left"/>
    </xf>
    <xf numFmtId="3" fontId="39" fillId="13" borderId="20" xfId="0" applyNumberFormat="1" applyFont="1" applyFill="1" applyBorder="1" applyAlignment="1" applyProtection="1">
      <alignment/>
      <protection hidden="1"/>
    </xf>
    <xf numFmtId="165" fontId="39" fillId="13" borderId="20" xfId="41" applyFont="1" applyFill="1" applyBorder="1" applyAlignment="1" applyProtection="1">
      <alignment/>
      <protection hidden="1"/>
    </xf>
    <xf numFmtId="3" fontId="39" fillId="38" borderId="20" xfId="43" applyNumberFormat="1" applyFont="1" applyFill="1" applyBorder="1" applyAlignment="1" applyProtection="1">
      <alignment horizontal="right"/>
      <protection/>
    </xf>
    <xf numFmtId="165" fontId="39" fillId="38" borderId="20" xfId="41" applyFont="1" applyFill="1" applyBorder="1" applyAlignment="1" applyProtection="1">
      <alignment horizontal="right"/>
      <protection/>
    </xf>
    <xf numFmtId="3" fontId="39" fillId="39" borderId="20" xfId="43" applyNumberFormat="1" applyFont="1" applyFill="1" applyBorder="1" applyAlignment="1" applyProtection="1">
      <alignment horizontal="right"/>
      <protection/>
    </xf>
    <xf numFmtId="165" fontId="39" fillId="39" borderId="20" xfId="41" applyFont="1" applyFill="1" applyBorder="1" applyAlignment="1" applyProtection="1">
      <alignment horizontal="right"/>
      <protection/>
    </xf>
    <xf numFmtId="3" fontId="38" fillId="0" borderId="29" xfId="69" applyNumberFormat="1" applyFont="1" applyFill="1" applyBorder="1" applyAlignment="1">
      <alignment horizontal="right"/>
      <protection/>
    </xf>
    <xf numFmtId="3" fontId="38" fillId="0" borderId="25" xfId="69" applyNumberFormat="1" applyFont="1" applyFill="1" applyBorder="1" applyAlignment="1">
      <alignment horizontal="right"/>
      <protection/>
    </xf>
    <xf numFmtId="165" fontId="39" fillId="0" borderId="22" xfId="41" applyFont="1" applyFill="1" applyBorder="1" applyAlignment="1">
      <alignment horizontal="right"/>
    </xf>
    <xf numFmtId="3" fontId="16" fillId="0" borderId="29" xfId="69" applyNumberFormat="1" applyFont="1" applyFill="1" applyBorder="1" applyAlignment="1">
      <alignment horizontal="right" wrapText="1"/>
      <protection/>
    </xf>
    <xf numFmtId="3" fontId="16" fillId="0" borderId="25" xfId="69" applyNumberFormat="1" applyFont="1" applyFill="1" applyBorder="1" applyAlignment="1">
      <alignment horizontal="right" wrapText="1"/>
      <protection/>
    </xf>
    <xf numFmtId="0" fontId="33" fillId="0" borderId="22" xfId="67" applyFont="1" applyFill="1" applyBorder="1" applyAlignment="1">
      <alignment horizontal="center" vertical="center"/>
      <protection/>
    </xf>
    <xf numFmtId="0" fontId="33" fillId="0" borderId="21" xfId="67" applyFont="1" applyFill="1" applyBorder="1" applyAlignment="1">
      <alignment horizontal="center" vertical="center" wrapText="1"/>
      <protection/>
    </xf>
    <xf numFmtId="0" fontId="24" fillId="0" borderId="21" xfId="67" applyFont="1" applyBorder="1" applyAlignment="1">
      <alignment horizontal="center"/>
      <protection/>
    </xf>
    <xf numFmtId="0" fontId="33" fillId="0" borderId="39" xfId="67" applyFont="1" applyBorder="1">
      <alignment/>
      <protection/>
    </xf>
    <xf numFmtId="3" fontId="33" fillId="0" borderId="23" xfId="67" applyNumberFormat="1" applyFont="1" applyBorder="1" applyAlignment="1">
      <alignment horizontal="right"/>
      <protection/>
    </xf>
    <xf numFmtId="0" fontId="24" fillId="0" borderId="0" xfId="0" applyFont="1" applyAlignment="1">
      <alignment/>
    </xf>
    <xf numFmtId="3" fontId="33" fillId="13" borderId="23" xfId="0" applyNumberFormat="1" applyFont="1" applyFill="1" applyBorder="1" applyAlignment="1">
      <alignment horizontal="right"/>
    </xf>
    <xf numFmtId="3" fontId="16" fillId="0" borderId="0" xfId="41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15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16" fillId="0" borderId="78" xfId="0" applyFont="1" applyBorder="1" applyAlignment="1">
      <alignment/>
    </xf>
    <xf numFmtId="3" fontId="22" fillId="0" borderId="78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0" fontId="17" fillId="0" borderId="79" xfId="0" applyFont="1" applyBorder="1" applyAlignment="1">
      <alignment/>
    </xf>
    <xf numFmtId="0" fontId="16" fillId="0" borderId="80" xfId="0" applyFont="1" applyBorder="1" applyAlignment="1">
      <alignment/>
    </xf>
    <xf numFmtId="0" fontId="16" fillId="0" borderId="79" xfId="0" applyFont="1" applyBorder="1" applyAlignment="1">
      <alignment/>
    </xf>
    <xf numFmtId="0" fontId="16" fillId="0" borderId="17" xfId="0" applyFont="1" applyBorder="1" applyAlignment="1">
      <alignment/>
    </xf>
    <xf numFmtId="3" fontId="20" fillId="0" borderId="81" xfId="0" applyNumberFormat="1" applyFont="1" applyBorder="1" applyAlignment="1">
      <alignment/>
    </xf>
    <xf numFmtId="0" fontId="16" fillId="0" borderId="82" xfId="0" applyFont="1" applyBorder="1" applyAlignment="1" applyProtection="1">
      <alignment/>
      <protection locked="0"/>
    </xf>
    <xf numFmtId="3" fontId="22" fillId="0" borderId="82" xfId="0" applyNumberFormat="1" applyFont="1" applyBorder="1" applyAlignment="1" applyProtection="1">
      <alignment/>
      <protection locked="0"/>
    </xf>
    <xf numFmtId="3" fontId="22" fillId="0" borderId="82" xfId="0" applyNumberFormat="1" applyFont="1" applyBorder="1" applyAlignment="1">
      <alignment/>
    </xf>
    <xf numFmtId="3" fontId="20" fillId="0" borderId="83" xfId="0" applyNumberFormat="1" applyFont="1" applyBorder="1" applyAlignment="1">
      <alignment/>
    </xf>
    <xf numFmtId="3" fontId="22" fillId="0" borderId="80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6" xfId="0" applyFont="1" applyBorder="1" applyAlignment="1">
      <alignment/>
    </xf>
    <xf numFmtId="165" fontId="6" fillId="0" borderId="20" xfId="41" applyFont="1" applyFill="1" applyBorder="1" applyAlignment="1" applyProtection="1">
      <alignment horizontal="right"/>
      <protection hidden="1"/>
    </xf>
    <xf numFmtId="165" fontId="6" fillId="0" borderId="20" xfId="41" applyFont="1" applyFill="1" applyBorder="1" applyAlignment="1" applyProtection="1">
      <alignment horizontal="right"/>
      <protection locked="0"/>
    </xf>
    <xf numFmtId="0" fontId="9" fillId="0" borderId="0" xfId="79" applyFont="1">
      <alignment/>
      <protection/>
    </xf>
    <xf numFmtId="3" fontId="9" fillId="33" borderId="0" xfId="79" applyNumberFormat="1" applyFont="1" applyFill="1">
      <alignment/>
      <protection/>
    </xf>
    <xf numFmtId="165" fontId="9" fillId="33" borderId="0" xfId="41" applyFont="1" applyFill="1" applyAlignment="1">
      <alignment/>
    </xf>
    <xf numFmtId="49" fontId="11" fillId="33" borderId="25" xfId="0" applyNumberFormat="1" applyFont="1" applyFill="1" applyBorder="1" applyAlignment="1" applyProtection="1">
      <alignment horizontal="left"/>
      <protection/>
    </xf>
    <xf numFmtId="0" fontId="11" fillId="33" borderId="25" xfId="0" applyFont="1" applyFill="1" applyBorder="1" applyAlignment="1" applyProtection="1">
      <alignment/>
      <protection/>
    </xf>
    <xf numFmtId="165" fontId="11" fillId="0" borderId="25" xfId="41" applyFont="1" applyFill="1" applyBorder="1" applyAlignment="1" applyProtection="1">
      <alignment horizontal="right"/>
      <protection locked="0"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/>
      <protection/>
    </xf>
    <xf numFmtId="49" fontId="4" fillId="33" borderId="2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165" fontId="11" fillId="0" borderId="30" xfId="41" applyFont="1" applyFill="1" applyBorder="1" applyAlignment="1">
      <alignment vertical="center"/>
    </xf>
    <xf numFmtId="49" fontId="11" fillId="33" borderId="29" xfId="0" applyNumberFormat="1" applyFont="1" applyFill="1" applyBorder="1" applyAlignment="1">
      <alignment horizontal="center"/>
    </xf>
    <xf numFmtId="0" fontId="38" fillId="0" borderId="84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177" fontId="38" fillId="0" borderId="29" xfId="0" applyNumberFormat="1" applyFont="1" applyFill="1" applyBorder="1" applyAlignment="1">
      <alignment horizontal="center" vertical="center" wrapText="1"/>
    </xf>
    <xf numFmtId="14" fontId="38" fillId="0" borderId="29" xfId="0" applyNumberFormat="1" applyFont="1" applyFill="1" applyBorder="1" applyAlignment="1">
      <alignment horizontal="center" vertical="center"/>
    </xf>
    <xf numFmtId="14" fontId="38" fillId="0" borderId="29" xfId="0" applyNumberFormat="1" applyFont="1" applyFill="1" applyBorder="1" applyAlignment="1">
      <alignment horizontal="center" vertical="center" wrapText="1"/>
    </xf>
    <xf numFmtId="14" fontId="38" fillId="0" borderId="85" xfId="0" applyNumberFormat="1" applyFont="1" applyFill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14" fontId="38" fillId="0" borderId="87" xfId="0" applyNumberFormat="1" applyFont="1" applyFill="1" applyBorder="1" applyAlignment="1">
      <alignment horizontal="center" vertical="center" wrapText="1"/>
    </xf>
    <xf numFmtId="14" fontId="38" fillId="0" borderId="87" xfId="0" applyNumberFormat="1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177" fontId="38" fillId="0" borderId="30" xfId="0" applyNumberFormat="1" applyFont="1" applyFill="1" applyBorder="1" applyAlignment="1">
      <alignment horizontal="center" vertical="center" wrapText="1"/>
    </xf>
    <xf numFmtId="14" fontId="38" fillId="0" borderId="30" xfId="0" applyNumberFormat="1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39" fillId="13" borderId="42" xfId="67" applyFont="1" applyFill="1" applyBorder="1" applyAlignment="1">
      <alignment horizontal="center"/>
      <protection/>
    </xf>
    <xf numFmtId="0" fontId="39" fillId="13" borderId="22" xfId="67" applyFont="1" applyFill="1" applyBorder="1" applyAlignment="1">
      <alignment horizontal="center"/>
      <protection/>
    </xf>
    <xf numFmtId="3" fontId="39" fillId="13" borderId="23" xfId="67" applyNumberFormat="1" applyFont="1" applyFill="1" applyBorder="1" applyAlignment="1">
      <alignment horizontal="right" wrapText="1"/>
      <protection/>
    </xf>
    <xf numFmtId="0" fontId="30" fillId="33" borderId="0" xfId="79" applyFont="1" applyFill="1" applyBorder="1" applyAlignment="1">
      <alignment horizontal="center"/>
      <protection/>
    </xf>
    <xf numFmtId="0" fontId="10" fillId="33" borderId="0" xfId="79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/>
    </xf>
    <xf numFmtId="3" fontId="4" fillId="0" borderId="62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0" fontId="33" fillId="0" borderId="65" xfId="67" applyFont="1" applyBorder="1" applyAlignment="1">
      <alignment horizontal="center" vertical="center" wrapText="1"/>
      <protection/>
    </xf>
    <xf numFmtId="0" fontId="33" fillId="0" borderId="64" xfId="67" applyFont="1" applyBorder="1" applyAlignment="1">
      <alignment horizontal="center" vertical="center" wrapText="1"/>
      <protection/>
    </xf>
    <xf numFmtId="0" fontId="33" fillId="0" borderId="89" xfId="67" applyFont="1" applyBorder="1" applyAlignment="1">
      <alignment horizontal="center" vertical="center" wrapText="1"/>
      <protection/>
    </xf>
    <xf numFmtId="0" fontId="33" fillId="0" borderId="90" xfId="67" applyFont="1" applyBorder="1" applyAlignment="1">
      <alignment horizontal="center" vertical="center" wrapText="1"/>
      <protection/>
    </xf>
    <xf numFmtId="0" fontId="33" fillId="0" borderId="91" xfId="67" applyFont="1" applyBorder="1" applyAlignment="1">
      <alignment horizontal="center" vertical="center" wrapText="1"/>
      <protection/>
    </xf>
    <xf numFmtId="0" fontId="33" fillId="0" borderId="92" xfId="67" applyFont="1" applyBorder="1" applyAlignment="1">
      <alignment horizontal="center" vertical="center" wrapText="1"/>
      <protection/>
    </xf>
    <xf numFmtId="0" fontId="7" fillId="36" borderId="32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84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40" borderId="20" xfId="0" applyFont="1" applyFill="1" applyBorder="1" applyAlignment="1">
      <alignment horizontal="center"/>
    </xf>
    <xf numFmtId="0" fontId="7" fillId="33" borderId="84" xfId="0" applyFont="1" applyFill="1" applyBorder="1" applyAlignment="1" applyProtection="1">
      <alignment horizontal="center" vertical="center" wrapText="1"/>
      <protection hidden="1"/>
    </xf>
    <xf numFmtId="0" fontId="7" fillId="33" borderId="88" xfId="0" applyFont="1" applyFill="1" applyBorder="1" applyAlignment="1" applyProtection="1">
      <alignment horizontal="center" vertical="center" wrapText="1"/>
      <protection hidden="1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93" xfId="0" applyFont="1" applyFill="1" applyBorder="1" applyAlignment="1" applyProtection="1">
      <alignment horizontal="center" vertical="center" wrapText="1"/>
      <protection hidden="1"/>
    </xf>
    <xf numFmtId="0" fontId="8" fillId="33" borderId="34" xfId="0" applyFont="1" applyFill="1" applyBorder="1" applyAlignment="1" applyProtection="1">
      <alignment horizontal="center" vertical="center" wrapText="1"/>
      <protection hidden="1"/>
    </xf>
    <xf numFmtId="0" fontId="8" fillId="33" borderId="35" xfId="0" applyFont="1" applyFill="1" applyBorder="1" applyAlignment="1" applyProtection="1">
      <alignment horizontal="center" vertical="center" wrapText="1"/>
      <protection hidden="1"/>
    </xf>
    <xf numFmtId="0" fontId="39" fillId="0" borderId="0" xfId="69" applyFont="1" applyFill="1" applyAlignment="1">
      <alignment horizontal="center"/>
      <protection/>
    </xf>
    <xf numFmtId="0" fontId="39" fillId="0" borderId="0" xfId="69" applyFont="1" applyFill="1" applyBorder="1" applyAlignment="1">
      <alignment horizontal="center"/>
      <protection/>
    </xf>
    <xf numFmtId="0" fontId="38" fillId="0" borderId="0" xfId="69" applyFont="1" applyFill="1" applyAlignment="1">
      <alignment horizontal="center"/>
      <protection/>
    </xf>
    <xf numFmtId="3" fontId="39" fillId="0" borderId="29" xfId="69" applyNumberFormat="1" applyFont="1" applyFill="1" applyBorder="1" applyAlignment="1">
      <alignment horizontal="center" vertical="center"/>
      <protection/>
    </xf>
    <xf numFmtId="0" fontId="39" fillId="0" borderId="29" xfId="69" applyFont="1" applyFill="1" applyBorder="1" applyAlignment="1">
      <alignment horizontal="center" vertical="center"/>
      <protection/>
    </xf>
    <xf numFmtId="0" fontId="39" fillId="0" borderId="85" xfId="69" applyFont="1" applyFill="1" applyBorder="1" applyAlignment="1">
      <alignment horizontal="center" vertical="center"/>
      <protection/>
    </xf>
    <xf numFmtId="0" fontId="39" fillId="0" borderId="84" xfId="69" applyFont="1" applyFill="1" applyBorder="1" applyAlignment="1">
      <alignment horizontal="center" vertical="center"/>
      <protection/>
    </xf>
    <xf numFmtId="0" fontId="39" fillId="0" borderId="88" xfId="69" applyFont="1" applyFill="1" applyBorder="1" applyAlignment="1">
      <alignment horizontal="center" vertical="center"/>
      <protection/>
    </xf>
    <xf numFmtId="0" fontId="39" fillId="0" borderId="30" xfId="69" applyFont="1" applyFill="1" applyBorder="1" applyAlignment="1">
      <alignment horizontal="center" vertical="center"/>
      <protection/>
    </xf>
    <xf numFmtId="3" fontId="39" fillId="0" borderId="30" xfId="69" applyNumberFormat="1" applyFont="1" applyFill="1" applyBorder="1" applyAlignment="1">
      <alignment horizontal="center" vertical="center"/>
      <protection/>
    </xf>
    <xf numFmtId="0" fontId="41" fillId="0" borderId="0" xfId="69" applyFont="1" applyFill="1" applyAlignment="1">
      <alignment horizontal="center"/>
      <protection/>
    </xf>
    <xf numFmtId="0" fontId="22" fillId="0" borderId="0" xfId="69" applyFont="1" applyFill="1" applyAlignment="1">
      <alignment horizontal="center"/>
      <protection/>
    </xf>
    <xf numFmtId="0" fontId="17" fillId="0" borderId="84" xfId="69" applyFont="1" applyFill="1" applyBorder="1" applyAlignment="1">
      <alignment horizontal="center" vertical="center"/>
      <protection/>
    </xf>
    <xf numFmtId="0" fontId="17" fillId="0" borderId="88" xfId="69" applyFont="1" applyFill="1" applyBorder="1" applyAlignment="1">
      <alignment horizontal="center" vertical="center"/>
      <protection/>
    </xf>
    <xf numFmtId="0" fontId="17" fillId="0" borderId="27" xfId="69" applyFont="1" applyFill="1" applyBorder="1" applyAlignment="1">
      <alignment horizontal="center" vertical="center" wrapText="1"/>
      <protection/>
    </xf>
    <xf numFmtId="0" fontId="17" fillId="0" borderId="64" xfId="69" applyFont="1" applyFill="1" applyBorder="1" applyAlignment="1">
      <alignment horizontal="center" vertical="center" wrapText="1"/>
      <protection/>
    </xf>
    <xf numFmtId="0" fontId="17" fillId="0" borderId="0" xfId="69" applyFont="1" applyFill="1" applyBorder="1" applyAlignment="1">
      <alignment horizontal="center"/>
      <protection/>
    </xf>
    <xf numFmtId="0" fontId="17" fillId="0" borderId="29" xfId="69" applyFont="1" applyFill="1" applyBorder="1" applyAlignment="1">
      <alignment horizontal="center"/>
      <protection/>
    </xf>
    <xf numFmtId="0" fontId="17" fillId="0" borderId="85" xfId="69" applyFont="1" applyFill="1" applyBorder="1" applyAlignment="1">
      <alignment horizontal="center"/>
      <protection/>
    </xf>
    <xf numFmtId="0" fontId="4" fillId="0" borderId="20" xfId="67" applyFont="1" applyBorder="1" applyAlignment="1">
      <alignment horizontal="center"/>
      <protection/>
    </xf>
    <xf numFmtId="0" fontId="33" fillId="0" borderId="21" xfId="67" applyFont="1" applyBorder="1" applyAlignment="1">
      <alignment horizontal="center"/>
      <protection/>
    </xf>
    <xf numFmtId="0" fontId="33" fillId="0" borderId="22" xfId="67" applyFont="1" applyBorder="1" applyAlignment="1">
      <alignment horizontal="center"/>
      <protection/>
    </xf>
    <xf numFmtId="0" fontId="40" fillId="0" borderId="0" xfId="67" applyFont="1" applyAlignment="1">
      <alignment horizontal="center"/>
      <protection/>
    </xf>
    <xf numFmtId="0" fontId="3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4" fillId="0" borderId="0" xfId="70" applyFont="1" applyAlignment="1">
      <alignment horizontal="center"/>
      <protection/>
    </xf>
    <xf numFmtId="0" fontId="24" fillId="0" borderId="94" xfId="70" applyFont="1" applyFill="1" applyBorder="1" applyAlignment="1">
      <alignment horizontal="center" vertical="center" wrapText="1"/>
      <protection/>
    </xf>
    <xf numFmtId="0" fontId="24" fillId="0" borderId="29" xfId="70" applyFont="1" applyFill="1" applyBorder="1" applyAlignment="1">
      <alignment horizontal="center" vertical="center" wrapText="1"/>
      <protection/>
    </xf>
    <xf numFmtId="0" fontId="24" fillId="0" borderId="85" xfId="70" applyFont="1" applyFill="1" applyBorder="1" applyAlignment="1">
      <alignment horizontal="center" vertical="center" wrapText="1"/>
      <protection/>
    </xf>
    <xf numFmtId="0" fontId="24" fillId="0" borderId="33" xfId="70" applyFont="1" applyFill="1" applyBorder="1" applyAlignment="1">
      <alignment horizontal="center" vertical="center" wrapText="1"/>
      <protection/>
    </xf>
    <xf numFmtId="0" fontId="24" fillId="0" borderId="95" xfId="70" applyFont="1" applyFill="1" applyBorder="1" applyAlignment="1">
      <alignment horizontal="center" vertical="center" wrapText="1"/>
      <protection/>
    </xf>
    <xf numFmtId="0" fontId="24" fillId="0" borderId="20" xfId="70" applyFont="1" applyFill="1" applyBorder="1" applyAlignment="1">
      <alignment horizontal="center" vertical="center"/>
      <protection/>
    </xf>
    <xf numFmtId="0" fontId="24" fillId="0" borderId="58" xfId="70" applyFont="1" applyFill="1" applyBorder="1" applyAlignment="1">
      <alignment horizontal="center" vertical="center" wrapText="1"/>
      <protection/>
    </xf>
    <xf numFmtId="0" fontId="24" fillId="0" borderId="96" xfId="70" applyFont="1" applyFill="1" applyBorder="1" applyAlignment="1">
      <alignment horizontal="center" vertical="center" wrapText="1"/>
      <protection/>
    </xf>
    <xf numFmtId="0" fontId="24" fillId="0" borderId="87" xfId="70" applyFont="1" applyFill="1" applyBorder="1" applyAlignment="1">
      <alignment horizontal="center" vertical="center" wrapText="1"/>
      <protection/>
    </xf>
    <xf numFmtId="0" fontId="24" fillId="0" borderId="41" xfId="70" applyFont="1" applyFill="1" applyBorder="1" applyAlignment="1">
      <alignment horizontal="center" vertical="center" wrapText="1"/>
      <protection/>
    </xf>
    <xf numFmtId="0" fontId="24" fillId="0" borderId="30" xfId="70" applyFont="1" applyFill="1" applyBorder="1" applyAlignment="1">
      <alignment horizontal="center" vertical="center"/>
      <protection/>
    </xf>
    <xf numFmtId="0" fontId="33" fillId="37" borderId="63" xfId="70" applyFont="1" applyFill="1" applyBorder="1" applyAlignment="1">
      <alignment horizontal="left" vertical="center"/>
      <protection/>
    </xf>
    <xf numFmtId="0" fontId="33" fillId="37" borderId="49" xfId="70" applyFont="1" applyFill="1" applyBorder="1" applyAlignment="1">
      <alignment horizontal="left" vertical="center"/>
      <protection/>
    </xf>
    <xf numFmtId="0" fontId="33" fillId="0" borderId="49" xfId="70" applyFont="1" applyBorder="1" applyAlignment="1">
      <alignment vertical="center"/>
      <protection/>
    </xf>
    <xf numFmtId="0" fontId="33" fillId="0" borderId="97" xfId="70" applyFont="1" applyBorder="1" applyAlignment="1">
      <alignment vertical="center"/>
      <protection/>
    </xf>
    <xf numFmtId="0" fontId="24" fillId="0" borderId="98" xfId="70" applyFont="1" applyFill="1" applyBorder="1" applyAlignment="1">
      <alignment horizontal="center" vertical="center" wrapText="1"/>
      <protection/>
    </xf>
    <xf numFmtId="0" fontId="24" fillId="0" borderId="99" xfId="70" applyFont="1" applyFill="1" applyBorder="1" applyAlignment="1">
      <alignment wrapText="1"/>
      <protection/>
    </xf>
    <xf numFmtId="0" fontId="24" fillId="0" borderId="100" xfId="70" applyFont="1" applyFill="1" applyBorder="1" applyAlignment="1">
      <alignment wrapText="1"/>
      <protection/>
    </xf>
    <xf numFmtId="0" fontId="24" fillId="0" borderId="101" xfId="70" applyFont="1" applyFill="1" applyBorder="1" applyAlignment="1">
      <alignment horizontal="center" vertical="center" wrapText="1"/>
      <protection/>
    </xf>
    <xf numFmtId="0" fontId="24" fillId="0" borderId="102" xfId="70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0" borderId="0" xfId="67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33" fillId="0" borderId="0" xfId="67" applyFont="1" applyFill="1" applyBorder="1" applyAlignment="1">
      <alignment horizontal="center" vertical="center"/>
      <protection/>
    </xf>
    <xf numFmtId="0" fontId="12" fillId="0" borderId="0" xfId="67" applyFill="1" applyBorder="1" applyAlignment="1">
      <alignment horizontal="center" vertical="center" wrapText="1"/>
      <protection/>
    </xf>
    <xf numFmtId="0" fontId="33" fillId="0" borderId="0" xfId="67" applyFont="1" applyFill="1" applyAlignment="1">
      <alignment horizontal="center"/>
      <protection/>
    </xf>
    <xf numFmtId="0" fontId="42" fillId="0" borderId="0" xfId="67" applyFont="1" applyFill="1" applyAlignment="1">
      <alignment horizontal="center"/>
      <protection/>
    </xf>
    <xf numFmtId="0" fontId="25" fillId="0" borderId="0" xfId="67" applyFont="1" applyFill="1" applyBorder="1" applyAlignment="1">
      <alignment horizontal="center" vertical="center"/>
      <protection/>
    </xf>
    <xf numFmtId="3" fontId="33" fillId="0" borderId="0" xfId="67" applyNumberFormat="1" applyFont="1" applyFill="1" applyBorder="1" applyAlignment="1">
      <alignment horizontal="center" vertical="center" wrapText="1"/>
      <protection/>
    </xf>
    <xf numFmtId="0" fontId="30" fillId="33" borderId="0" xfId="0" applyFont="1" applyFill="1" applyBorder="1" applyAlignment="1">
      <alignment horizontal="center"/>
    </xf>
    <xf numFmtId="0" fontId="31" fillId="33" borderId="61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</cellXfs>
  <cellStyles count="7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 1" xfId="40"/>
    <cellStyle name="Comma" xfId="41"/>
    <cellStyle name="Comma [0]" xfId="42"/>
    <cellStyle name="Ezres 2" xfId="43"/>
    <cellStyle name="Ezres 2 2" xfId="44"/>
    <cellStyle name="Ezres 2 3" xfId="45"/>
    <cellStyle name="Ezres 3" xfId="46"/>
    <cellStyle name="Ezres 3 2" xfId="47"/>
    <cellStyle name="Ezres 4" xfId="48"/>
    <cellStyle name="Ezres 4 2" xfId="49"/>
    <cellStyle name="Ezres 5" xfId="50"/>
    <cellStyle name="Ezres 5 2" xfId="51"/>
    <cellStyle name="Figyelmezteté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ktsgv" xfId="64"/>
    <cellStyle name="Followed Hyperlink" xfId="65"/>
    <cellStyle name="Magyarázó szöveg" xfId="66"/>
    <cellStyle name="Normál 2" xfId="67"/>
    <cellStyle name="Normál 2 2" xfId="68"/>
    <cellStyle name="Normál 3" xfId="69"/>
    <cellStyle name="Normál 3 2" xfId="70"/>
    <cellStyle name="Normál 3 2 2" xfId="71"/>
    <cellStyle name="Normál 3 3" xfId="72"/>
    <cellStyle name="Normál 4" xfId="73"/>
    <cellStyle name="Normál 4 2" xfId="74"/>
    <cellStyle name="Normál 4 2 2" xfId="75"/>
    <cellStyle name="Normál 5" xfId="76"/>
    <cellStyle name="Normál 6" xfId="77"/>
    <cellStyle name="Normál 6 2" xfId="78"/>
    <cellStyle name="Normál_1.számú melléklet" xfId="79"/>
    <cellStyle name="Összesen" xfId="80"/>
    <cellStyle name="Currency" xfId="81"/>
    <cellStyle name="Currency [0]" xfId="82"/>
    <cellStyle name="Rossz" xfId="83"/>
    <cellStyle name="Semleges" xfId="84"/>
    <cellStyle name="SIMA" xfId="85"/>
    <cellStyle name="Számítás" xfId="86"/>
    <cellStyle name="Percen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zsu_C\2011_ment&#233;sek\R&#233;gi%2013_t_&#193;gi&#233;%20f&#233;l&#233;v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esek\2015\1_v&#225;ltozat\2015_11szmell_beruh&#225;z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zsu_C\2011_ment&#233;sek\R&#233;gi%2013_t_&#193;gi&#233;%20f&#233;l&#233;v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HUPENZU\2013\EIM\6-15.%20t&#225;bla%2010.31.+fel&#252;lvizs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sz._ Önk_beruh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_sz_2013 K.Felülv."/>
      <sheetName val="6_sz_2013 B.Felülv."/>
      <sheetName val="7.sz. 2013 Felülv."/>
      <sheetName val="8_sz_2013 K. Felülv. "/>
      <sheetName val="8_sz_2013 B. Felülv."/>
      <sheetName val="8 a 2013 Felülv."/>
      <sheetName val="_14_int felj. 2013 Felülv. "/>
      <sheetName val="_15_int beruh. 2013 felülv.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I23" sqref="I23"/>
    </sheetView>
  </sheetViews>
  <sheetFormatPr defaultColWidth="9.00390625" defaultRowHeight="12.75"/>
  <cols>
    <col min="1" max="1" width="4.25390625" style="74" customWidth="1"/>
    <col min="2" max="2" width="55.125" style="74" customWidth="1"/>
    <col min="3" max="3" width="24.00390625" style="71" customWidth="1"/>
    <col min="4" max="4" width="4.25390625" style="74" customWidth="1"/>
    <col min="5" max="5" width="61.25390625" style="74" bestFit="1" customWidth="1"/>
    <col min="6" max="6" width="23.375" style="74" customWidth="1"/>
    <col min="7" max="7" width="13.00390625" style="74" customWidth="1"/>
    <col min="8" max="8" width="10.875" style="74" bestFit="1" customWidth="1"/>
    <col min="9" max="16384" width="9.125" style="74" customWidth="1"/>
  </cols>
  <sheetData>
    <row r="1" spans="1:6" ht="15.75">
      <c r="A1" s="68"/>
      <c r="B1" s="69"/>
      <c r="C1" s="70"/>
      <c r="D1" s="71"/>
      <c r="E1" s="72"/>
      <c r="F1" s="10" t="s">
        <v>346</v>
      </c>
    </row>
    <row r="2" spans="1:6" ht="12.75">
      <c r="A2" s="71"/>
      <c r="B2" s="71"/>
      <c r="C2" s="72"/>
      <c r="D2" s="71"/>
      <c r="E2" s="72"/>
      <c r="F2" s="11"/>
    </row>
    <row r="3" spans="1:6" ht="18.75">
      <c r="A3" s="755" t="s">
        <v>771</v>
      </c>
      <c r="B3" s="755"/>
      <c r="C3" s="755"/>
      <c r="D3" s="755"/>
      <c r="E3" s="755"/>
      <c r="F3" s="755"/>
    </row>
    <row r="4" spans="1:6" ht="12.75">
      <c r="A4" s="756" t="s">
        <v>347</v>
      </c>
      <c r="B4" s="756"/>
      <c r="C4" s="756"/>
      <c r="D4" s="756"/>
      <c r="E4" s="756"/>
      <c r="F4" s="756"/>
    </row>
    <row r="5" spans="1:6" ht="12.75" hidden="1">
      <c r="A5" s="75"/>
      <c r="B5" s="75"/>
      <c r="C5" s="75"/>
      <c r="D5" s="75"/>
      <c r="E5" s="75"/>
      <c r="F5" s="75"/>
    </row>
    <row r="6" spans="1:5" ht="13.5" thickBot="1">
      <c r="A6" s="71"/>
      <c r="B6" s="71"/>
      <c r="D6" s="71"/>
      <c r="E6" s="72"/>
    </row>
    <row r="7" spans="1:6" s="138" customFormat="1" ht="52.5" customHeight="1" thickBot="1" thickTop="1">
      <c r="A7" s="139" t="s">
        <v>41</v>
      </c>
      <c r="B7" s="140" t="s">
        <v>492</v>
      </c>
      <c r="C7" s="141" t="s">
        <v>772</v>
      </c>
      <c r="D7" s="140" t="s">
        <v>41</v>
      </c>
      <c r="E7" s="140" t="s">
        <v>493</v>
      </c>
      <c r="F7" s="142" t="s">
        <v>773</v>
      </c>
    </row>
    <row r="8" spans="1:6" s="77" customFormat="1" ht="21.75" customHeight="1" thickTop="1">
      <c r="A8" s="181">
        <v>1</v>
      </c>
      <c r="B8" s="153" t="s">
        <v>299</v>
      </c>
      <c r="C8" s="163">
        <f>SUM('2.sz.kiadás'!D7)</f>
        <v>1928620741</v>
      </c>
      <c r="D8" s="190">
        <v>1</v>
      </c>
      <c r="E8" s="153" t="s">
        <v>3</v>
      </c>
      <c r="F8" s="175">
        <v>2354512720</v>
      </c>
    </row>
    <row r="9" spans="1:6" ht="21.75" customHeight="1">
      <c r="A9" s="182">
        <v>2</v>
      </c>
      <c r="B9" s="154" t="s">
        <v>300</v>
      </c>
      <c r="C9" s="164">
        <f>SUM('2.sz.kiadás'!D8)</f>
        <v>319656955</v>
      </c>
      <c r="D9" s="191">
        <v>2</v>
      </c>
      <c r="E9" s="154" t="s">
        <v>344</v>
      </c>
      <c r="F9" s="721">
        <f>SUM('3.sz.bevétel_'!D15)</f>
        <v>0</v>
      </c>
    </row>
    <row r="10" spans="1:8" s="73" customFormat="1" ht="21.75" customHeight="1">
      <c r="A10" s="183">
        <v>3</v>
      </c>
      <c r="B10" s="156" t="s">
        <v>301</v>
      </c>
      <c r="C10" s="165">
        <f>SUM('2.sz.kiadás'!D9)</f>
        <v>2515090669</v>
      </c>
      <c r="D10" s="184">
        <v>3</v>
      </c>
      <c r="E10" s="156" t="s">
        <v>5</v>
      </c>
      <c r="F10" s="168">
        <f>SUM('3.sz.bevétel_'!D19)</f>
        <v>2525000000</v>
      </c>
      <c r="H10" s="143"/>
    </row>
    <row r="11" spans="1:6" s="73" customFormat="1" ht="21.75" customHeight="1">
      <c r="A11" s="184">
        <v>4</v>
      </c>
      <c r="B11" s="157" t="s">
        <v>302</v>
      </c>
      <c r="C11" s="165">
        <f>SUM('2.sz.kiadás'!D10)</f>
        <v>11000000</v>
      </c>
      <c r="D11" s="184">
        <v>4</v>
      </c>
      <c r="E11" s="156" t="s">
        <v>6</v>
      </c>
      <c r="F11" s="168">
        <f>SUM('3.sz.bevétel_'!D26)</f>
        <v>403217632</v>
      </c>
    </row>
    <row r="12" spans="1:6" s="73" customFormat="1" ht="21.75" customHeight="1">
      <c r="A12" s="183">
        <v>5</v>
      </c>
      <c r="B12" s="156" t="s">
        <v>303</v>
      </c>
      <c r="C12" s="165">
        <f>SUM(C13:C15)</f>
        <v>693666579</v>
      </c>
      <c r="D12" s="192">
        <v>5</v>
      </c>
      <c r="E12" s="157" t="s">
        <v>345</v>
      </c>
      <c r="F12" s="168"/>
    </row>
    <row r="13" spans="1:7" s="73" customFormat="1" ht="21.75" customHeight="1">
      <c r="A13" s="184"/>
      <c r="B13" s="158" t="s">
        <v>312</v>
      </c>
      <c r="C13" s="166">
        <f>SUM('2.sz.kiadás'!D13)</f>
        <v>36938684</v>
      </c>
      <c r="D13" s="192"/>
      <c r="E13" s="157"/>
      <c r="F13" s="168"/>
      <c r="G13" s="143"/>
    </row>
    <row r="14" spans="1:6" s="73" customFormat="1" ht="21.75" customHeight="1">
      <c r="A14" s="184"/>
      <c r="B14" s="158" t="s">
        <v>313</v>
      </c>
      <c r="C14" s="166">
        <f>SUM('2.sz.kiadás'!D14)</f>
        <v>130315000</v>
      </c>
      <c r="D14" s="192"/>
      <c r="E14" s="159"/>
      <c r="F14" s="168"/>
    </row>
    <row r="15" spans="1:6" s="73" customFormat="1" ht="21.75" customHeight="1">
      <c r="A15" s="184"/>
      <c r="B15" s="158" t="s">
        <v>774</v>
      </c>
      <c r="C15" s="166">
        <v>526412895</v>
      </c>
      <c r="D15" s="192"/>
      <c r="E15" s="159"/>
      <c r="F15" s="168"/>
    </row>
    <row r="16" spans="1:6" s="73" customFormat="1" ht="21.75" customHeight="1">
      <c r="A16" s="184">
        <v>6</v>
      </c>
      <c r="B16" s="157" t="s">
        <v>304</v>
      </c>
      <c r="C16" s="165">
        <v>2000000</v>
      </c>
      <c r="D16" s="192"/>
      <c r="E16" s="157"/>
      <c r="F16" s="168"/>
    </row>
    <row r="17" spans="1:6" s="73" customFormat="1" ht="21.75" customHeight="1">
      <c r="A17" s="184">
        <v>7</v>
      </c>
      <c r="B17" s="157" t="s">
        <v>305</v>
      </c>
      <c r="C17" s="165">
        <v>21000000</v>
      </c>
      <c r="D17" s="192"/>
      <c r="E17" s="157"/>
      <c r="F17" s="168"/>
    </row>
    <row r="18" spans="1:8" s="151" customFormat="1" ht="23.25" customHeight="1">
      <c r="A18" s="185" t="s">
        <v>35</v>
      </c>
      <c r="B18" s="147" t="s">
        <v>494</v>
      </c>
      <c r="C18" s="167">
        <f>SUM(C8+C9+C10+C11+C12+C17+C16)</f>
        <v>5491034944</v>
      </c>
      <c r="D18" s="185" t="s">
        <v>35</v>
      </c>
      <c r="E18" s="147" t="s">
        <v>495</v>
      </c>
      <c r="F18" s="171">
        <f>SUM(F8:F16)</f>
        <v>5282730352</v>
      </c>
      <c r="G18" s="149"/>
      <c r="H18" s="150"/>
    </row>
    <row r="19" spans="1:6" s="73" customFormat="1" ht="25.5" customHeight="1">
      <c r="A19" s="183">
        <v>8</v>
      </c>
      <c r="B19" s="157" t="s">
        <v>306</v>
      </c>
      <c r="C19" s="168">
        <f>SUM('2.sz.kiadás'!D16)</f>
        <v>2547596481</v>
      </c>
      <c r="D19" s="192">
        <v>6</v>
      </c>
      <c r="E19" s="157" t="s">
        <v>58</v>
      </c>
      <c r="F19" s="176">
        <f>SUM('3.sz.bevétel_'!D16)</f>
        <v>150000000</v>
      </c>
    </row>
    <row r="20" spans="1:8" s="73" customFormat="1" ht="21.75" customHeight="1">
      <c r="A20" s="184">
        <v>9</v>
      </c>
      <c r="B20" s="157" t="s">
        <v>307</v>
      </c>
      <c r="C20" s="168">
        <f>SUM('2.sz.kiadás'!D23)</f>
        <v>140776445</v>
      </c>
      <c r="D20" s="192">
        <v>7</v>
      </c>
      <c r="E20" s="157" t="s">
        <v>7</v>
      </c>
      <c r="F20" s="177">
        <f>SUM('3.sz.bevétel_'!D37)</f>
        <v>11240831</v>
      </c>
      <c r="H20" s="143"/>
    </row>
    <row r="21" spans="1:6" s="73" customFormat="1" ht="21.75" customHeight="1">
      <c r="A21" s="184">
        <v>10</v>
      </c>
      <c r="B21" s="156" t="s">
        <v>290</v>
      </c>
      <c r="C21" s="168">
        <f>SUM(C22:C23)</f>
        <v>55888087</v>
      </c>
      <c r="D21" s="192">
        <v>8</v>
      </c>
      <c r="E21" s="157" t="s">
        <v>118</v>
      </c>
      <c r="F21" s="722">
        <f>SUM('3.sz.bevétel_'!D42)</f>
        <v>0</v>
      </c>
    </row>
    <row r="22" spans="1:6" s="73" customFormat="1" ht="21.75" customHeight="1">
      <c r="A22" s="184"/>
      <c r="B22" s="160" t="s">
        <v>342</v>
      </c>
      <c r="C22" s="168">
        <f>SUM('2.sz.kiadás'!D27)</f>
        <v>80000</v>
      </c>
      <c r="D22" s="186"/>
      <c r="E22" s="152"/>
      <c r="F22" s="178"/>
    </row>
    <row r="23" spans="1:6" s="73" customFormat="1" ht="21.75" customHeight="1">
      <c r="A23" s="184"/>
      <c r="B23" s="160" t="s">
        <v>343</v>
      </c>
      <c r="C23" s="169">
        <f>SUM('2.sz.kiadás'!D28)</f>
        <v>55808087</v>
      </c>
      <c r="D23" s="192"/>
      <c r="E23" s="156"/>
      <c r="F23" s="176"/>
    </row>
    <row r="24" spans="1:6" s="73" customFormat="1" ht="21.75" customHeight="1">
      <c r="A24" s="184">
        <v>11</v>
      </c>
      <c r="B24" s="157" t="s">
        <v>308</v>
      </c>
      <c r="C24" s="168">
        <f>SUM('2.sz.kiadás'!D29)</f>
        <v>76000000</v>
      </c>
      <c r="D24" s="192"/>
      <c r="E24" s="156"/>
      <c r="F24" s="179"/>
    </row>
    <row r="25" spans="1:8" s="146" customFormat="1" ht="23.25" customHeight="1">
      <c r="A25" s="185" t="s">
        <v>99</v>
      </c>
      <c r="B25" s="147" t="s">
        <v>496</v>
      </c>
      <c r="C25" s="167">
        <f>SUM(C19+C20+C21+C24)</f>
        <v>2820261013</v>
      </c>
      <c r="D25" s="185" t="s">
        <v>99</v>
      </c>
      <c r="E25" s="147" t="s">
        <v>497</v>
      </c>
      <c r="F25" s="171">
        <f>SUM(F19:F24)</f>
        <v>161240831</v>
      </c>
      <c r="G25" s="144"/>
      <c r="H25" s="145"/>
    </row>
    <row r="26" spans="1:6" s="73" customFormat="1" ht="16.5" customHeight="1">
      <c r="A26" s="185"/>
      <c r="B26" s="147"/>
      <c r="C26" s="170"/>
      <c r="D26" s="193"/>
      <c r="E26" s="148"/>
      <c r="F26" s="171"/>
    </row>
    <row r="27" spans="1:8" s="146" customFormat="1" ht="23.25" customHeight="1">
      <c r="A27" s="185" t="s">
        <v>37</v>
      </c>
      <c r="B27" s="147" t="s">
        <v>498</v>
      </c>
      <c r="C27" s="167">
        <f>SUM(C18+C25)</f>
        <v>8311295957</v>
      </c>
      <c r="D27" s="185" t="s">
        <v>37</v>
      </c>
      <c r="E27" s="147" t="s">
        <v>499</v>
      </c>
      <c r="F27" s="171">
        <f>SUM(F18+F25)</f>
        <v>5443971183</v>
      </c>
      <c r="G27" s="144"/>
      <c r="H27" s="145"/>
    </row>
    <row r="28" spans="1:6" s="73" customFormat="1" ht="23.25" customHeight="1">
      <c r="A28" s="183">
        <v>12</v>
      </c>
      <c r="B28" s="155" t="s">
        <v>775</v>
      </c>
      <c r="C28" s="177">
        <v>94180509</v>
      </c>
      <c r="D28" s="183">
        <v>9</v>
      </c>
      <c r="E28" s="159" t="s">
        <v>309</v>
      </c>
      <c r="F28" s="177">
        <v>560905876</v>
      </c>
    </row>
    <row r="29" spans="1:6" s="73" customFormat="1" ht="25.5" customHeight="1">
      <c r="A29" s="184"/>
      <c r="B29" s="157"/>
      <c r="C29" s="172"/>
      <c r="D29" s="183">
        <v>10</v>
      </c>
      <c r="E29" s="159" t="s">
        <v>310</v>
      </c>
      <c r="F29" s="177">
        <v>1100139407</v>
      </c>
    </row>
    <row r="30" spans="1:6" s="73" customFormat="1" ht="19.5" customHeight="1">
      <c r="A30" s="186"/>
      <c r="B30" s="152"/>
      <c r="C30" s="168"/>
      <c r="D30" s="183">
        <v>11</v>
      </c>
      <c r="E30" s="159" t="s">
        <v>402</v>
      </c>
      <c r="F30" s="168">
        <f>SUM('3.sz.bevétel_'!D46)</f>
        <v>1300460000</v>
      </c>
    </row>
    <row r="31" spans="1:6" s="73" customFormat="1" ht="19.5" customHeight="1">
      <c r="A31" s="186"/>
      <c r="B31" s="152"/>
      <c r="C31" s="168"/>
      <c r="D31" s="183">
        <v>12</v>
      </c>
      <c r="E31" s="159" t="s">
        <v>311</v>
      </c>
      <c r="F31" s="168"/>
    </row>
    <row r="32" spans="1:8" s="146" customFormat="1" ht="23.25" customHeight="1">
      <c r="A32" s="185" t="s">
        <v>38</v>
      </c>
      <c r="B32" s="147" t="s">
        <v>225</v>
      </c>
      <c r="C32" s="167">
        <f>SUM(C28:C31)</f>
        <v>94180509</v>
      </c>
      <c r="D32" s="185" t="s">
        <v>38</v>
      </c>
      <c r="E32" s="147" t="s">
        <v>13</v>
      </c>
      <c r="F32" s="171">
        <f>SUM(F28:F31)</f>
        <v>2961505283</v>
      </c>
      <c r="G32" s="144"/>
      <c r="H32" s="145"/>
    </row>
    <row r="33" spans="1:6" s="73" customFormat="1" ht="16.5" customHeight="1" thickBot="1">
      <c r="A33" s="188"/>
      <c r="B33" s="161"/>
      <c r="C33" s="173"/>
      <c r="D33" s="188"/>
      <c r="E33" s="161"/>
      <c r="F33" s="173"/>
    </row>
    <row r="34" spans="1:8" s="146" customFormat="1" ht="23.25" customHeight="1" thickBot="1" thickTop="1">
      <c r="A34" s="189" t="s">
        <v>39</v>
      </c>
      <c r="B34" s="162" t="s">
        <v>500</v>
      </c>
      <c r="C34" s="174">
        <f>SUM(C27+C32)</f>
        <v>8405476466</v>
      </c>
      <c r="D34" s="194" t="s">
        <v>39</v>
      </c>
      <c r="E34" s="162" t="s">
        <v>501</v>
      </c>
      <c r="F34" s="180">
        <f>SUM(F27+F32)</f>
        <v>8405476466</v>
      </c>
      <c r="G34" s="144"/>
      <c r="H34" s="145"/>
    </row>
    <row r="35" spans="5:6" ht="19.5" customHeight="1" thickTop="1">
      <c r="E35" s="76"/>
      <c r="F35" s="79"/>
    </row>
    <row r="36" spans="2:6" ht="19.5" customHeight="1">
      <c r="B36" s="723" t="s">
        <v>776</v>
      </c>
      <c r="C36" s="724">
        <f>+F18+F28-C28-C18</f>
        <v>258420775</v>
      </c>
      <c r="D36" s="723" t="s">
        <v>779</v>
      </c>
      <c r="F36" s="135"/>
    </row>
    <row r="37" spans="2:6" ht="19.5" customHeight="1">
      <c r="B37" s="723" t="s">
        <v>777</v>
      </c>
      <c r="C37" s="724">
        <f>+F25+F30-C25+F29</f>
        <v>-258420775</v>
      </c>
      <c r="D37" s="723" t="s">
        <v>779</v>
      </c>
      <c r="F37" s="78"/>
    </row>
    <row r="38" spans="2:6" ht="19.5" customHeight="1">
      <c r="B38" s="723" t="s">
        <v>778</v>
      </c>
      <c r="C38" s="725">
        <f>SUM(C36:C37)</f>
        <v>0</v>
      </c>
      <c r="D38" s="723"/>
      <c r="F38" s="80"/>
    </row>
    <row r="39" spans="3:5" ht="12.75">
      <c r="C39" s="137"/>
      <c r="E39" s="78"/>
    </row>
  </sheetData>
  <sheetProtection/>
  <mergeCells count="2">
    <mergeCell ref="A3:F3"/>
    <mergeCell ref="A4:F4"/>
  </mergeCells>
  <printOptions horizontalCentered="1"/>
  <pageMargins left="0.15748031496062992" right="0.15748031496062992" top="0.4330708661417323" bottom="0.4724409448818898" header="0.15748031496062992" footer="0.1968503937007874"/>
  <pageSetup horizontalDpi="600" verticalDpi="600" orientation="landscape" paperSize="9" scale="54" r:id="rId1"/>
  <colBreaks count="1" manualBreakCount="1">
    <brk id="6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22" sqref="G22"/>
    </sheetView>
  </sheetViews>
  <sheetFormatPr defaultColWidth="9.00390625" defaultRowHeight="12.75"/>
  <cols>
    <col min="1" max="1" width="11.00390625" style="45" customWidth="1"/>
    <col min="2" max="2" width="90.625" style="45" customWidth="1"/>
    <col min="3" max="3" width="13.75390625" style="45" customWidth="1"/>
    <col min="4" max="4" width="9.125" style="45" customWidth="1"/>
    <col min="5" max="5" width="13.625" style="45" bestFit="1" customWidth="1"/>
    <col min="6" max="6" width="10.625" style="45" bestFit="1" customWidth="1"/>
    <col min="7" max="16384" width="9.125" style="45" customWidth="1"/>
  </cols>
  <sheetData>
    <row r="1" spans="1:3" ht="15">
      <c r="A1" s="386" t="s">
        <v>1</v>
      </c>
      <c r="B1" s="386"/>
      <c r="C1" s="386" t="s">
        <v>588</v>
      </c>
    </row>
    <row r="3" spans="1:3" ht="28.5" customHeight="1">
      <c r="A3" s="386"/>
      <c r="B3" s="383" t="s">
        <v>736</v>
      </c>
      <c r="C3" s="386"/>
    </row>
    <row r="4" ht="13.5" thickBot="1"/>
    <row r="5" spans="1:3" ht="30.75" customHeight="1" thickBot="1" thickTop="1">
      <c r="A5" s="390" t="s">
        <v>589</v>
      </c>
      <c r="B5" s="391" t="s">
        <v>134</v>
      </c>
      <c r="C5" s="392" t="s">
        <v>590</v>
      </c>
    </row>
    <row r="6" spans="1:4" s="48" customFormat="1" ht="18" customHeight="1" thickTop="1">
      <c r="A6" s="659"/>
      <c r="B6" s="660" t="s">
        <v>591</v>
      </c>
      <c r="C6" s="661">
        <f>SUM(C7:C7)</f>
        <v>21000000</v>
      </c>
      <c r="D6" s="47"/>
    </row>
    <row r="7" spans="1:4" ht="18" customHeight="1">
      <c r="A7" s="368">
        <v>1</v>
      </c>
      <c r="B7" s="387" t="s">
        <v>488</v>
      </c>
      <c r="C7" s="662">
        <v>21000000</v>
      </c>
      <c r="D7" s="46"/>
    </row>
    <row r="8" spans="1:4" ht="18" customHeight="1">
      <c r="A8" s="663"/>
      <c r="B8" s="388"/>
      <c r="C8" s="662"/>
      <c r="D8" s="46"/>
    </row>
    <row r="9" spans="1:3" s="49" customFormat="1" ht="18" customHeight="1">
      <c r="A9" s="664"/>
      <c r="B9" s="389" t="s">
        <v>592</v>
      </c>
      <c r="C9" s="665">
        <f>SUM(C10:C12)</f>
        <v>76000000</v>
      </c>
    </row>
    <row r="10" spans="1:4" ht="18" customHeight="1">
      <c r="A10" s="663">
        <v>1</v>
      </c>
      <c r="B10" s="387" t="s">
        <v>186</v>
      </c>
      <c r="C10" s="662">
        <v>66000000</v>
      </c>
      <c r="D10" s="46"/>
    </row>
    <row r="11" spans="1:4" ht="18" customHeight="1">
      <c r="A11" s="663">
        <v>2</v>
      </c>
      <c r="B11" s="387" t="s">
        <v>360</v>
      </c>
      <c r="C11" s="666">
        <v>5000000</v>
      </c>
      <c r="D11" s="46"/>
    </row>
    <row r="12" spans="1:4" ht="18" customHeight="1" thickBot="1">
      <c r="A12" s="663">
        <v>3</v>
      </c>
      <c r="B12" s="388" t="s">
        <v>405</v>
      </c>
      <c r="C12" s="666">
        <v>5000000</v>
      </c>
      <c r="D12" s="46"/>
    </row>
    <row r="13" spans="1:3" ht="18" customHeight="1" thickBot="1" thickTop="1">
      <c r="A13" s="697"/>
      <c r="B13" s="698" t="s">
        <v>747</v>
      </c>
      <c r="C13" s="699">
        <f>SUM(C6+C9)</f>
        <v>97000000</v>
      </c>
    </row>
    <row r="14" ht="13.5" customHeight="1" thickTop="1"/>
    <row r="15" ht="23.25" customHeight="1"/>
    <row r="16" ht="13.5" customHeight="1">
      <c r="B16" s="383" t="s">
        <v>737</v>
      </c>
    </row>
    <row r="17" ht="13.5" thickBot="1"/>
    <row r="18" spans="1:3" ht="33" thickBot="1" thickTop="1">
      <c r="A18" s="390" t="s">
        <v>589</v>
      </c>
      <c r="B18" s="391" t="s">
        <v>134</v>
      </c>
      <c r="C18" s="392" t="s">
        <v>590</v>
      </c>
    </row>
    <row r="19" spans="1:3" ht="25.5" customHeight="1" thickTop="1">
      <c r="A19" s="442">
        <v>1</v>
      </c>
      <c r="B19" s="443" t="s">
        <v>304</v>
      </c>
      <c r="C19" s="667">
        <v>2000000</v>
      </c>
    </row>
    <row r="20" ht="12.75">
      <c r="C20" s="46"/>
    </row>
    <row r="25" ht="15.75">
      <c r="F25" s="65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7"/>
  <sheetViews>
    <sheetView zoomScale="130" zoomScaleNormal="130" workbookViewId="0" topLeftCell="A49">
      <selection activeCell="E19" sqref="E19"/>
    </sheetView>
  </sheetViews>
  <sheetFormatPr defaultColWidth="9.00390625" defaultRowHeight="12.75"/>
  <cols>
    <col min="1" max="1" width="8.375" style="411" customWidth="1"/>
    <col min="2" max="2" width="84.375" style="412" bestFit="1" customWidth="1"/>
    <col min="3" max="3" width="14.875" style="409" bestFit="1" customWidth="1"/>
    <col min="4" max="4" width="21.625" style="409" bestFit="1" customWidth="1"/>
    <col min="5" max="5" width="16.25390625" style="396" bestFit="1" customWidth="1"/>
    <col min="6" max="7" width="16.25390625" style="397" bestFit="1" customWidth="1"/>
    <col min="8" max="8" width="13.75390625" style="402" bestFit="1" customWidth="1"/>
    <col min="9" max="9" width="16.25390625" style="402" bestFit="1" customWidth="1"/>
    <col min="10" max="10" width="14.75390625" style="402" bestFit="1" customWidth="1"/>
    <col min="11" max="16384" width="9.125" style="402" customWidth="1"/>
  </cols>
  <sheetData>
    <row r="1" spans="1:5" s="397" customFormat="1" ht="15.75">
      <c r="A1" s="437" t="s">
        <v>1</v>
      </c>
      <c r="B1" s="395"/>
      <c r="C1" s="396" t="s">
        <v>105</v>
      </c>
      <c r="D1" s="396"/>
      <c r="E1" s="396"/>
    </row>
    <row r="2" spans="1:5" s="397" customFormat="1" ht="12.75">
      <c r="A2" s="398"/>
      <c r="B2" s="399"/>
      <c r="C2" s="396"/>
      <c r="D2" s="396"/>
      <c r="E2" s="396"/>
    </row>
    <row r="3" spans="1:5" s="397" customFormat="1" ht="16.5">
      <c r="A3" s="830" t="s">
        <v>717</v>
      </c>
      <c r="B3" s="830"/>
      <c r="C3" s="830"/>
      <c r="D3" s="396"/>
      <c r="E3" s="396"/>
    </row>
    <row r="4" spans="1:5" s="397" customFormat="1" ht="12.75">
      <c r="A4" s="831" t="s">
        <v>104</v>
      </c>
      <c r="B4" s="831"/>
      <c r="C4" s="831"/>
      <c r="D4" s="396"/>
      <c r="E4" s="396"/>
    </row>
    <row r="5" spans="1:5" s="397" customFormat="1" ht="12.75">
      <c r="A5" s="398"/>
      <c r="B5" s="398"/>
      <c r="C5" s="396"/>
      <c r="D5" s="396"/>
      <c r="E5" s="396"/>
    </row>
    <row r="6" spans="1:5" s="397" customFormat="1" ht="13.5" thickBot="1">
      <c r="A6" s="398"/>
      <c r="B6" s="398"/>
      <c r="C6" s="396"/>
      <c r="D6" s="396"/>
      <c r="E6" s="396"/>
    </row>
    <row r="7" spans="1:3" s="397" customFormat="1" ht="44.25" customHeight="1" thickBot="1" thickTop="1">
      <c r="A7" s="413" t="s">
        <v>589</v>
      </c>
      <c r="B7" s="414" t="s">
        <v>134</v>
      </c>
      <c r="C7" s="415" t="s">
        <v>718</v>
      </c>
    </row>
    <row r="8" spans="1:3" s="397" customFormat="1" ht="16.5" thickTop="1">
      <c r="A8" s="410"/>
      <c r="B8" s="625">
        <v>2</v>
      </c>
      <c r="C8" s="626">
        <v>3</v>
      </c>
    </row>
    <row r="9" spans="1:7" s="400" customFormat="1" ht="19.5" customHeight="1">
      <c r="A9" s="619" t="s">
        <v>35</v>
      </c>
      <c r="B9" s="623" t="s">
        <v>93</v>
      </c>
      <c r="C9" s="401"/>
      <c r="E9" s="641"/>
      <c r="F9" s="641"/>
      <c r="G9" s="641"/>
    </row>
    <row r="10" spans="1:7" s="400" customFormat="1" ht="19.5" customHeight="1">
      <c r="A10" s="620"/>
      <c r="B10" s="624"/>
      <c r="C10" s="401"/>
      <c r="E10" s="641"/>
      <c r="F10" s="641"/>
      <c r="G10" s="641"/>
    </row>
    <row r="11" spans="1:30" ht="19.5" customHeight="1">
      <c r="A11" s="622" t="s">
        <v>19</v>
      </c>
      <c r="B11" s="624" t="s">
        <v>20</v>
      </c>
      <c r="C11" s="627"/>
      <c r="D11" s="402"/>
      <c r="E11" s="404"/>
      <c r="F11" s="404"/>
      <c r="G11" s="404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</row>
    <row r="12" spans="1:30" ht="19.5" customHeight="1">
      <c r="A12" s="628" t="s">
        <v>43</v>
      </c>
      <c r="B12" s="629" t="s">
        <v>94</v>
      </c>
      <c r="C12" s="630"/>
      <c r="D12" s="402"/>
      <c r="E12" s="404"/>
      <c r="F12" s="404"/>
      <c r="G12" s="404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</row>
    <row r="13" spans="1:30" ht="19.5" customHeight="1">
      <c r="A13" s="628"/>
      <c r="B13" s="631" t="s">
        <v>704</v>
      </c>
      <c r="C13" s="630">
        <v>65000000</v>
      </c>
      <c r="D13" s="405"/>
      <c r="E13" s="404"/>
      <c r="F13" s="404"/>
      <c r="G13" s="404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</row>
    <row r="14" spans="1:30" ht="19.5" customHeight="1">
      <c r="A14" s="628"/>
      <c r="B14" s="631" t="s">
        <v>705</v>
      </c>
      <c r="C14" s="630">
        <v>68136000</v>
      </c>
      <c r="D14" s="402"/>
      <c r="E14" s="404"/>
      <c r="F14" s="404"/>
      <c r="G14" s="404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</row>
    <row r="15" spans="1:30" ht="19.5" customHeight="1">
      <c r="A15" s="628"/>
      <c r="B15" s="631" t="s">
        <v>706</v>
      </c>
      <c r="C15" s="630">
        <v>61872092</v>
      </c>
      <c r="D15" s="402"/>
      <c r="E15" s="404"/>
      <c r="F15" s="404"/>
      <c r="G15" s="404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</row>
    <row r="16" spans="1:30" ht="19.5" customHeight="1">
      <c r="A16" s="628"/>
      <c r="B16" s="631" t="s">
        <v>748</v>
      </c>
      <c r="C16" s="630">
        <v>783438</v>
      </c>
      <c r="D16" s="402"/>
      <c r="E16" s="404"/>
      <c r="F16" s="404"/>
      <c r="G16" s="404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</row>
    <row r="17" spans="1:30" ht="19.5" customHeight="1">
      <c r="A17" s="628"/>
      <c r="B17" s="631" t="s">
        <v>784</v>
      </c>
      <c r="C17" s="630">
        <f>7493000+4381500</f>
        <v>11874500</v>
      </c>
      <c r="D17" s="402"/>
      <c r="E17" s="404"/>
      <c r="F17" s="404"/>
      <c r="G17" s="404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</row>
    <row r="18" spans="1:30" ht="19.5" customHeight="1">
      <c r="A18" s="628"/>
      <c r="B18" s="631" t="s">
        <v>749</v>
      </c>
      <c r="C18" s="630">
        <v>1117600</v>
      </c>
      <c r="D18" s="402"/>
      <c r="E18" s="404"/>
      <c r="F18" s="404"/>
      <c r="G18" s="404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</row>
    <row r="19" spans="1:30" ht="19.5" customHeight="1">
      <c r="A19" s="628"/>
      <c r="B19" s="631" t="s">
        <v>785</v>
      </c>
      <c r="C19" s="630">
        <v>79000000</v>
      </c>
      <c r="D19" s="402"/>
      <c r="E19" s="404"/>
      <c r="F19" s="404"/>
      <c r="G19" s="404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</row>
    <row r="20" spans="1:30" ht="19.5" customHeight="1">
      <c r="A20" s="628"/>
      <c r="B20" s="631" t="s">
        <v>750</v>
      </c>
      <c r="C20" s="630">
        <v>53451465</v>
      </c>
      <c r="D20" s="402"/>
      <c r="E20" s="404"/>
      <c r="F20" s="404"/>
      <c r="G20" s="404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</row>
    <row r="21" spans="1:30" ht="19.5" customHeight="1">
      <c r="A21" s="628"/>
      <c r="B21" s="631" t="s">
        <v>751</v>
      </c>
      <c r="C21" s="630">
        <v>708513</v>
      </c>
      <c r="D21" s="402"/>
      <c r="E21" s="404"/>
      <c r="F21" s="404"/>
      <c r="G21" s="404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</row>
    <row r="22" spans="1:30" ht="19.5" customHeight="1">
      <c r="A22" s="628"/>
      <c r="B22" s="631" t="s">
        <v>786</v>
      </c>
      <c r="C22" s="630">
        <v>600000</v>
      </c>
      <c r="D22" s="402"/>
      <c r="E22" s="404"/>
      <c r="F22" s="404"/>
      <c r="G22" s="404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</row>
    <row r="23" spans="1:30" ht="19.5" customHeight="1">
      <c r="A23" s="628"/>
      <c r="B23" s="631" t="s">
        <v>787</v>
      </c>
      <c r="C23" s="630">
        <v>25400000</v>
      </c>
      <c r="D23" s="405"/>
      <c r="E23" s="404"/>
      <c r="F23" s="404"/>
      <c r="G23" s="404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</row>
    <row r="24" spans="1:30" ht="19.5" customHeight="1">
      <c r="A24" s="628"/>
      <c r="B24" s="631" t="s">
        <v>752</v>
      </c>
      <c r="C24" s="630">
        <v>1225545</v>
      </c>
      <c r="D24" s="402"/>
      <c r="E24" s="404"/>
      <c r="F24" s="404"/>
      <c r="G24" s="404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</row>
    <row r="25" spans="1:30" ht="19.5" customHeight="1">
      <c r="A25" s="628"/>
      <c r="B25" s="631" t="s">
        <v>790</v>
      </c>
      <c r="C25" s="630">
        <v>6000000</v>
      </c>
      <c r="D25" s="405"/>
      <c r="E25" s="404"/>
      <c r="F25" s="404"/>
      <c r="G25" s="404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</row>
    <row r="26" spans="1:30" ht="19.5" customHeight="1">
      <c r="A26" s="628"/>
      <c r="B26" s="631" t="s">
        <v>753</v>
      </c>
      <c r="C26" s="630">
        <v>1500000</v>
      </c>
      <c r="D26" s="402"/>
      <c r="E26" s="404"/>
      <c r="F26" s="404"/>
      <c r="G26" s="404"/>
      <c r="H26" s="404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</row>
    <row r="27" spans="1:30" ht="19.5" customHeight="1">
      <c r="A27" s="628"/>
      <c r="B27" s="631" t="s">
        <v>707</v>
      </c>
      <c r="C27" s="630">
        <v>1103003</v>
      </c>
      <c r="D27" s="405"/>
      <c r="E27" s="404"/>
      <c r="F27" s="404"/>
      <c r="G27" s="404"/>
      <c r="H27" s="404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</row>
    <row r="28" spans="1:30" ht="19.5" customHeight="1">
      <c r="A28" s="628"/>
      <c r="B28" s="631" t="s">
        <v>754</v>
      </c>
      <c r="C28" s="630">
        <v>750000</v>
      </c>
      <c r="D28" s="402"/>
      <c r="E28" s="404"/>
      <c r="F28" s="404"/>
      <c r="G28" s="406"/>
      <c r="H28" s="404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</row>
    <row r="29" spans="1:30" ht="19.5" customHeight="1">
      <c r="A29" s="628" t="s">
        <v>45</v>
      </c>
      <c r="B29" s="629" t="s">
        <v>95</v>
      </c>
      <c r="C29" s="630"/>
      <c r="D29" s="405"/>
      <c r="E29" s="404"/>
      <c r="F29" s="404"/>
      <c r="G29" s="406"/>
      <c r="H29" s="404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</row>
    <row r="30" spans="1:30" ht="19.5" customHeight="1">
      <c r="A30" s="628"/>
      <c r="B30" s="631" t="s">
        <v>353</v>
      </c>
      <c r="C30" s="630">
        <v>20000000</v>
      </c>
      <c r="D30" s="407"/>
      <c r="E30" s="404"/>
      <c r="F30" s="404"/>
      <c r="G30" s="404"/>
      <c r="H30" s="404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</row>
    <row r="31" spans="1:30" ht="19.5" customHeight="1">
      <c r="A31" s="628"/>
      <c r="B31" s="631" t="s">
        <v>708</v>
      </c>
      <c r="C31" s="630">
        <v>120000000</v>
      </c>
      <c r="D31" s="407"/>
      <c r="E31" s="404"/>
      <c r="F31" s="404"/>
      <c r="G31" s="404"/>
      <c r="H31" s="404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</row>
    <row r="32" spans="1:8" ht="19.5" customHeight="1">
      <c r="A32" s="628"/>
      <c r="B32" s="631" t="s">
        <v>709</v>
      </c>
      <c r="C32" s="630">
        <v>5087274</v>
      </c>
      <c r="D32" s="407"/>
      <c r="E32" s="397"/>
      <c r="H32" s="408"/>
    </row>
    <row r="33" spans="1:7" ht="19.5" customHeight="1">
      <c r="A33" s="628"/>
      <c r="B33" s="631" t="s">
        <v>363</v>
      </c>
      <c r="C33" s="630">
        <v>20000000</v>
      </c>
      <c r="D33" s="402"/>
      <c r="E33" s="397"/>
      <c r="G33" s="408"/>
    </row>
    <row r="34" spans="1:6" ht="19.5" customHeight="1">
      <c r="A34" s="628"/>
      <c r="B34" s="631" t="s">
        <v>755</v>
      </c>
      <c r="C34" s="630">
        <v>6858000</v>
      </c>
      <c r="D34" s="402"/>
      <c r="E34" s="397"/>
      <c r="F34" s="642"/>
    </row>
    <row r="35" spans="1:5" ht="19.5" customHeight="1">
      <c r="A35" s="628"/>
      <c r="B35" s="700" t="s">
        <v>756</v>
      </c>
      <c r="C35" s="630">
        <v>350737354</v>
      </c>
      <c r="D35" s="402"/>
      <c r="E35" s="397"/>
    </row>
    <row r="36" spans="1:3" ht="19.5" customHeight="1">
      <c r="A36" s="628"/>
      <c r="B36" s="632" t="s">
        <v>757</v>
      </c>
      <c r="C36" s="630">
        <v>40000000</v>
      </c>
    </row>
    <row r="37" spans="1:3" ht="19.5" customHeight="1">
      <c r="A37" s="628"/>
      <c r="B37" s="631" t="s">
        <v>710</v>
      </c>
      <c r="C37" s="630">
        <v>13794530</v>
      </c>
    </row>
    <row r="38" spans="1:10" ht="19.5" customHeight="1">
      <c r="A38" s="628" t="s">
        <v>47</v>
      </c>
      <c r="B38" s="629" t="s">
        <v>96</v>
      </c>
      <c r="C38" s="630"/>
      <c r="D38" s="403"/>
      <c r="E38" s="408"/>
      <c r="F38" s="408"/>
      <c r="G38" s="408"/>
      <c r="I38" s="405"/>
      <c r="J38" s="405"/>
    </row>
    <row r="39" spans="1:5" ht="19.5" customHeight="1">
      <c r="A39" s="628"/>
      <c r="B39" s="631" t="s">
        <v>397</v>
      </c>
      <c r="C39" s="630">
        <v>133428814</v>
      </c>
      <c r="D39" s="405"/>
      <c r="E39" s="408"/>
    </row>
    <row r="40" spans="1:8" s="400" customFormat="1" ht="19.5" customHeight="1">
      <c r="A40" s="628"/>
      <c r="B40" s="631" t="s">
        <v>711</v>
      </c>
      <c r="C40" s="630">
        <v>10000000</v>
      </c>
      <c r="E40" s="408"/>
      <c r="F40" s="641"/>
      <c r="G40" s="408"/>
      <c r="H40" s="405"/>
    </row>
    <row r="41" spans="1:8" s="400" customFormat="1" ht="19.5" customHeight="1">
      <c r="A41" s="628"/>
      <c r="B41" s="631" t="s">
        <v>758</v>
      </c>
      <c r="C41" s="630">
        <v>443550</v>
      </c>
      <c r="E41" s="643"/>
      <c r="F41" s="641"/>
      <c r="G41" s="408"/>
      <c r="H41" s="405"/>
    </row>
    <row r="42" spans="1:5" ht="19.5" customHeight="1">
      <c r="A42" s="628" t="s">
        <v>50</v>
      </c>
      <c r="B42" s="629" t="s">
        <v>759</v>
      </c>
      <c r="C42" s="630"/>
      <c r="D42" s="405"/>
      <c r="E42" s="397"/>
    </row>
    <row r="43" spans="1:5" ht="19.5" customHeight="1">
      <c r="A43" s="628"/>
      <c r="B43" s="631" t="s">
        <v>788</v>
      </c>
      <c r="C43" s="630">
        <v>3200000</v>
      </c>
      <c r="D43" s="403"/>
      <c r="E43" s="397"/>
    </row>
    <row r="44" spans="1:6" ht="19.5" customHeight="1">
      <c r="A44" s="628"/>
      <c r="B44" s="631" t="s">
        <v>760</v>
      </c>
      <c r="C44" s="630">
        <v>38100000</v>
      </c>
      <c r="F44" s="396"/>
    </row>
    <row r="45" spans="1:6" ht="19.5" customHeight="1">
      <c r="A45" s="628"/>
      <c r="B45" s="631" t="s">
        <v>712</v>
      </c>
      <c r="C45" s="630">
        <v>1648460</v>
      </c>
      <c r="F45" s="396"/>
    </row>
    <row r="46" spans="1:6" ht="19.5" customHeight="1">
      <c r="A46" s="628"/>
      <c r="B46" s="631" t="s">
        <v>761</v>
      </c>
      <c r="C46" s="630">
        <v>2202908</v>
      </c>
      <c r="F46" s="396"/>
    </row>
    <row r="47" spans="1:6" ht="19.5" customHeight="1">
      <c r="A47" s="628" t="s">
        <v>51</v>
      </c>
      <c r="B47" s="629" t="s">
        <v>249</v>
      </c>
      <c r="C47" s="630"/>
      <c r="F47" s="396"/>
    </row>
    <row r="48" spans="1:5" ht="19.5" customHeight="1">
      <c r="A48" s="628"/>
      <c r="B48" s="631" t="s">
        <v>352</v>
      </c>
      <c r="C48" s="630">
        <v>30000000</v>
      </c>
      <c r="D48" s="402"/>
      <c r="E48" s="397"/>
    </row>
    <row r="49" spans="1:5" ht="19.5" customHeight="1">
      <c r="A49" s="628" t="s">
        <v>53</v>
      </c>
      <c r="B49" s="629" t="s">
        <v>97</v>
      </c>
      <c r="C49" s="630"/>
      <c r="D49" s="402"/>
      <c r="E49" s="397"/>
    </row>
    <row r="50" spans="1:3" ht="19.5" customHeight="1">
      <c r="A50" s="628"/>
      <c r="B50" s="631" t="s">
        <v>789</v>
      </c>
      <c r="C50" s="630">
        <v>33171000</v>
      </c>
    </row>
    <row r="51" spans="1:3" ht="19.5" customHeight="1">
      <c r="A51" s="628"/>
      <c r="B51" s="631"/>
      <c r="C51" s="630"/>
    </row>
    <row r="52" spans="1:3" ht="19.5" customHeight="1">
      <c r="A52" s="622" t="s">
        <v>359</v>
      </c>
      <c r="B52" s="624" t="s">
        <v>98</v>
      </c>
      <c r="C52" s="630"/>
    </row>
    <row r="53" spans="1:3" ht="19.5" customHeight="1">
      <c r="A53" s="622" t="s">
        <v>43</v>
      </c>
      <c r="B53" s="631" t="s">
        <v>762</v>
      </c>
      <c r="C53" s="630">
        <v>1183415943</v>
      </c>
    </row>
    <row r="54" spans="1:3" ht="19.5" customHeight="1">
      <c r="A54" s="622"/>
      <c r="B54" s="631" t="s">
        <v>763</v>
      </c>
      <c r="C54" s="630">
        <v>4500000</v>
      </c>
    </row>
    <row r="55" spans="1:3" ht="19.5" customHeight="1">
      <c r="A55" s="622"/>
      <c r="B55" s="631" t="s">
        <v>764</v>
      </c>
      <c r="C55" s="630">
        <v>11500000</v>
      </c>
    </row>
    <row r="56" spans="1:3" ht="19.5" customHeight="1">
      <c r="A56" s="628"/>
      <c r="B56" s="631" t="s">
        <v>765</v>
      </c>
      <c r="C56" s="630">
        <v>40000000</v>
      </c>
    </row>
    <row r="57" spans="1:3" ht="19.5" customHeight="1">
      <c r="A57" s="628"/>
      <c r="B57" s="631" t="s">
        <v>713</v>
      </c>
      <c r="C57" s="630">
        <v>60000000</v>
      </c>
    </row>
    <row r="58" spans="1:3" ht="19.5" customHeight="1">
      <c r="A58" s="628"/>
      <c r="B58" s="631" t="s">
        <v>766</v>
      </c>
      <c r="C58" s="630">
        <v>12000000</v>
      </c>
    </row>
    <row r="59" spans="1:3" ht="19.5" customHeight="1">
      <c r="A59" s="635"/>
      <c r="B59" s="633" t="s">
        <v>719</v>
      </c>
      <c r="C59" s="634">
        <v>27940000</v>
      </c>
    </row>
    <row r="60" spans="1:3" ht="19.5" customHeight="1" thickBot="1">
      <c r="A60" s="635"/>
      <c r="B60" s="633" t="s">
        <v>714</v>
      </c>
      <c r="C60" s="634">
        <v>1046492</v>
      </c>
    </row>
    <row r="61" spans="1:3" ht="19.5" customHeight="1" thickBot="1" thickTop="1">
      <c r="A61" s="639"/>
      <c r="B61" s="640" t="s">
        <v>767</v>
      </c>
      <c r="C61" s="701">
        <f>SUM(C10:C60)</f>
        <v>2547596481</v>
      </c>
    </row>
    <row r="62" spans="1:3" ht="16.5" thickTop="1">
      <c r="A62" s="636"/>
      <c r="B62" s="637"/>
      <c r="C62" s="638"/>
    </row>
    <row r="63" spans="1:3" ht="15.75">
      <c r="A63" s="622" t="s">
        <v>99</v>
      </c>
      <c r="B63" s="621" t="s">
        <v>100</v>
      </c>
      <c r="C63" s="630"/>
    </row>
    <row r="64" spans="1:3" ht="15.75">
      <c r="A64" s="622"/>
      <c r="B64" s="621"/>
      <c r="C64" s="630"/>
    </row>
    <row r="65" spans="1:3" ht="19.5" customHeight="1">
      <c r="A65" s="622" t="s">
        <v>19</v>
      </c>
      <c r="B65" s="621" t="s">
        <v>20</v>
      </c>
      <c r="C65" s="630"/>
    </row>
    <row r="66" spans="1:3" ht="19.5" customHeight="1">
      <c r="A66" s="628" t="s">
        <v>43</v>
      </c>
      <c r="B66" s="629" t="s">
        <v>94</v>
      </c>
      <c r="C66" s="630"/>
    </row>
    <row r="67" spans="1:3" ht="19.5" customHeight="1">
      <c r="A67" s="628"/>
      <c r="B67" s="631" t="s">
        <v>720</v>
      </c>
      <c r="C67" s="630">
        <v>92990183</v>
      </c>
    </row>
    <row r="68" spans="1:3" ht="19.5" customHeight="1">
      <c r="A68" s="628"/>
      <c r="B68" s="631" t="s">
        <v>364</v>
      </c>
      <c r="C68" s="630">
        <v>5000000</v>
      </c>
    </row>
    <row r="69" spans="1:3" ht="19.5" customHeight="1">
      <c r="A69" s="628"/>
      <c r="B69" s="631" t="s">
        <v>355</v>
      </c>
      <c r="C69" s="630">
        <v>5000000</v>
      </c>
    </row>
    <row r="70" spans="1:3" ht="19.5" customHeight="1">
      <c r="A70" s="628"/>
      <c r="B70" s="631" t="s">
        <v>354</v>
      </c>
      <c r="C70" s="630">
        <v>5000000</v>
      </c>
    </row>
    <row r="71" spans="1:3" ht="19.5" customHeight="1">
      <c r="A71" s="628" t="s">
        <v>45</v>
      </c>
      <c r="B71" s="629" t="s">
        <v>95</v>
      </c>
      <c r="C71" s="630"/>
    </row>
    <row r="72" spans="1:3" ht="19.5" customHeight="1">
      <c r="A72" s="628"/>
      <c r="B72" s="631" t="s">
        <v>101</v>
      </c>
      <c r="C72" s="630">
        <v>5000000</v>
      </c>
    </row>
    <row r="73" spans="1:3" ht="19.5" customHeight="1">
      <c r="A73" s="628" t="s">
        <v>47</v>
      </c>
      <c r="B73" s="629" t="s">
        <v>102</v>
      </c>
      <c r="C73" s="630"/>
    </row>
    <row r="74" spans="1:3" ht="19.5" customHeight="1">
      <c r="A74" s="628"/>
      <c r="B74" s="631" t="s">
        <v>103</v>
      </c>
      <c r="C74" s="630">
        <v>25650000</v>
      </c>
    </row>
    <row r="75" spans="1:3" ht="19.5" customHeight="1">
      <c r="A75" s="628"/>
      <c r="B75" s="631" t="s">
        <v>715</v>
      </c>
      <c r="C75" s="630">
        <v>2136262</v>
      </c>
    </row>
    <row r="76" spans="1:3" ht="19.5" customHeight="1" thickBot="1">
      <c r="A76" s="635"/>
      <c r="B76" s="633"/>
      <c r="C76" s="634"/>
    </row>
    <row r="77" spans="1:3" ht="19.5" customHeight="1" thickBot="1" thickTop="1">
      <c r="A77" s="639"/>
      <c r="B77" s="640" t="s">
        <v>716</v>
      </c>
      <c r="C77" s="701">
        <f>SUM(C67:C76)</f>
        <v>140776445</v>
      </c>
    </row>
    <row r="78" ht="19.5" customHeight="1" thickTop="1"/>
    <row r="79" ht="19.5" customHeight="1"/>
    <row r="80" ht="19.5" customHeight="1"/>
    <row r="81" ht="19.5" customHeight="1"/>
  </sheetData>
  <sheetProtection/>
  <mergeCells count="2">
    <mergeCell ref="A3:C3"/>
    <mergeCell ref="A4:C4"/>
  </mergeCells>
  <printOptions horizontalCentered="1"/>
  <pageMargins left="0.1968503937007874" right="0" top="0.36" bottom="0.39" header="0.2362204724409449" footer="0.15748031496062992"/>
  <pageSetup horizontalDpi="600" verticalDpi="600" orientation="portrait" paperSize="9" scale="80" r:id="rId1"/>
  <rowBreaks count="1" manualBreakCount="1">
    <brk id="39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M51" sqref="M51:M52"/>
    </sheetView>
  </sheetViews>
  <sheetFormatPr defaultColWidth="9.00390625" defaultRowHeight="12.75"/>
  <cols>
    <col min="1" max="1" width="46.625" style="416" customWidth="1"/>
    <col min="2" max="2" width="10.75390625" style="416" customWidth="1"/>
    <col min="3" max="3" width="11.00390625" style="416" customWidth="1"/>
    <col min="4" max="4" width="10.625" style="416" customWidth="1"/>
    <col min="5" max="5" width="10.00390625" style="416" customWidth="1"/>
    <col min="6" max="9" width="12.125" style="416" customWidth="1"/>
    <col min="10" max="16384" width="9.125" style="416" customWidth="1"/>
  </cols>
  <sheetData>
    <row r="1" spans="1:9" ht="15.75">
      <c r="A1" s="416" t="s">
        <v>1</v>
      </c>
      <c r="I1" s="436" t="s">
        <v>593</v>
      </c>
    </row>
    <row r="3" spans="1:9" ht="15.75">
      <c r="A3" s="832" t="s">
        <v>594</v>
      </c>
      <c r="B3" s="832"/>
      <c r="C3" s="832"/>
      <c r="D3" s="832"/>
      <c r="E3" s="832"/>
      <c r="F3" s="832"/>
      <c r="G3" s="832"/>
      <c r="H3" s="832"/>
      <c r="I3" s="832"/>
    </row>
    <row r="4" ht="16.5" thickBot="1"/>
    <row r="5" spans="1:9" ht="60" customHeight="1" thickTop="1">
      <c r="A5" s="848" t="s">
        <v>188</v>
      </c>
      <c r="B5" s="851" t="s">
        <v>677</v>
      </c>
      <c r="C5" s="852"/>
      <c r="D5" s="852"/>
      <c r="E5" s="852"/>
      <c r="F5" s="833" t="s">
        <v>678</v>
      </c>
      <c r="G5" s="834"/>
      <c r="H5" s="834"/>
      <c r="I5" s="835"/>
    </row>
    <row r="6" spans="1:9" ht="19.5" customHeight="1">
      <c r="A6" s="849"/>
      <c r="B6" s="836" t="s">
        <v>189</v>
      </c>
      <c r="C6" s="838" t="s">
        <v>190</v>
      </c>
      <c r="D6" s="838"/>
      <c r="E6" s="839" t="s">
        <v>191</v>
      </c>
      <c r="F6" s="836" t="s">
        <v>192</v>
      </c>
      <c r="G6" s="838" t="s">
        <v>190</v>
      </c>
      <c r="H6" s="838"/>
      <c r="I6" s="841" t="s">
        <v>54</v>
      </c>
    </row>
    <row r="7" spans="1:9" ht="19.5" customHeight="1">
      <c r="A7" s="849"/>
      <c r="B7" s="836"/>
      <c r="C7" s="838" t="s">
        <v>193</v>
      </c>
      <c r="D7" s="838" t="s">
        <v>194</v>
      </c>
      <c r="E7" s="839"/>
      <c r="F7" s="836"/>
      <c r="G7" s="838" t="s">
        <v>193</v>
      </c>
      <c r="H7" s="838" t="s">
        <v>194</v>
      </c>
      <c r="I7" s="841"/>
    </row>
    <row r="8" spans="1:9" ht="39" customHeight="1" thickBot="1">
      <c r="A8" s="850"/>
      <c r="B8" s="837"/>
      <c r="C8" s="843"/>
      <c r="D8" s="843"/>
      <c r="E8" s="840"/>
      <c r="F8" s="837"/>
      <c r="G8" s="843"/>
      <c r="H8" s="843"/>
      <c r="I8" s="842"/>
    </row>
    <row r="9" spans="1:9" s="417" customFormat="1" ht="19.5" customHeight="1" thickTop="1">
      <c r="A9" s="844" t="s">
        <v>195</v>
      </c>
      <c r="B9" s="845"/>
      <c r="C9" s="845"/>
      <c r="D9" s="845"/>
      <c r="E9" s="845"/>
      <c r="F9" s="846"/>
      <c r="G9" s="846"/>
      <c r="H9" s="846"/>
      <c r="I9" s="847"/>
    </row>
    <row r="10" spans="1:9" s="417" customFormat="1" ht="19.5" customHeight="1">
      <c r="A10" s="418" t="s">
        <v>196</v>
      </c>
      <c r="B10" s="552">
        <v>1</v>
      </c>
      <c r="C10" s="533">
        <v>0</v>
      </c>
      <c r="D10" s="533">
        <v>0</v>
      </c>
      <c r="E10" s="555">
        <f aca="true" t="shared" si="0" ref="E10:E15">SUM(B10:D10)</f>
        <v>1</v>
      </c>
      <c r="F10" s="552">
        <v>1</v>
      </c>
      <c r="G10" s="533">
        <v>0</v>
      </c>
      <c r="H10" s="533">
        <v>0</v>
      </c>
      <c r="I10" s="555">
        <f aca="true" t="shared" si="1" ref="I10:I15">SUM(F10:H10)</f>
        <v>1</v>
      </c>
    </row>
    <row r="11" spans="1:9" s="417" customFormat="1" ht="19.5" customHeight="1">
      <c r="A11" s="418" t="s">
        <v>197</v>
      </c>
      <c r="B11" s="552">
        <v>2</v>
      </c>
      <c r="C11" s="533">
        <v>0</v>
      </c>
      <c r="D11" s="533">
        <v>0</v>
      </c>
      <c r="E11" s="555">
        <f t="shared" si="0"/>
        <v>2</v>
      </c>
      <c r="F11" s="552">
        <v>2</v>
      </c>
      <c r="G11" s="533">
        <v>0</v>
      </c>
      <c r="H11" s="533">
        <v>0</v>
      </c>
      <c r="I11" s="555">
        <f t="shared" si="1"/>
        <v>2</v>
      </c>
    </row>
    <row r="12" spans="1:9" s="417" customFormat="1" ht="19.5" customHeight="1">
      <c r="A12" s="418" t="s">
        <v>365</v>
      </c>
      <c r="B12" s="552">
        <v>1</v>
      </c>
      <c r="C12" s="533">
        <v>0</v>
      </c>
      <c r="D12" s="533">
        <v>0</v>
      </c>
      <c r="E12" s="555">
        <f t="shared" si="0"/>
        <v>1</v>
      </c>
      <c r="F12" s="552">
        <v>1</v>
      </c>
      <c r="G12" s="533">
        <v>0</v>
      </c>
      <c r="H12" s="533">
        <v>0</v>
      </c>
      <c r="I12" s="555">
        <f t="shared" si="1"/>
        <v>1</v>
      </c>
    </row>
    <row r="13" spans="1:9" s="417" customFormat="1" ht="19.5" customHeight="1">
      <c r="A13" s="418" t="s">
        <v>198</v>
      </c>
      <c r="B13" s="552">
        <v>1</v>
      </c>
      <c r="C13" s="533">
        <v>0</v>
      </c>
      <c r="D13" s="533">
        <v>0</v>
      </c>
      <c r="E13" s="555">
        <f t="shared" si="0"/>
        <v>1</v>
      </c>
      <c r="F13" s="552">
        <v>1</v>
      </c>
      <c r="G13" s="533">
        <v>0</v>
      </c>
      <c r="H13" s="533">
        <v>0</v>
      </c>
      <c r="I13" s="555">
        <f t="shared" si="1"/>
        <v>1</v>
      </c>
    </row>
    <row r="14" spans="1:9" s="417" customFormat="1" ht="19.5" customHeight="1">
      <c r="A14" s="651" t="s">
        <v>679</v>
      </c>
      <c r="B14" s="652">
        <v>6</v>
      </c>
      <c r="C14" s="533">
        <v>0</v>
      </c>
      <c r="D14" s="553">
        <v>2</v>
      </c>
      <c r="E14" s="553">
        <f t="shared" si="0"/>
        <v>8</v>
      </c>
      <c r="F14" s="652">
        <v>6</v>
      </c>
      <c r="G14" s="533">
        <v>0</v>
      </c>
      <c r="H14" s="553">
        <v>2</v>
      </c>
      <c r="I14" s="555">
        <f t="shared" si="1"/>
        <v>8</v>
      </c>
    </row>
    <row r="15" spans="1:9" s="417" customFormat="1" ht="19.5" customHeight="1" thickBot="1">
      <c r="A15" s="653" t="s">
        <v>721</v>
      </c>
      <c r="B15" s="654">
        <v>6</v>
      </c>
      <c r="C15" s="533">
        <v>0</v>
      </c>
      <c r="D15" s="554"/>
      <c r="E15" s="554">
        <f t="shared" si="0"/>
        <v>6</v>
      </c>
      <c r="F15" s="654">
        <v>6</v>
      </c>
      <c r="G15" s="533">
        <v>0</v>
      </c>
      <c r="H15" s="657">
        <v>0</v>
      </c>
      <c r="I15" s="655">
        <f t="shared" si="1"/>
        <v>6</v>
      </c>
    </row>
    <row r="16" spans="1:9" s="417" customFormat="1" ht="19.5" customHeight="1" thickBot="1">
      <c r="A16" s="550" t="s">
        <v>327</v>
      </c>
      <c r="B16" s="556">
        <f>SUM(B10:B15)</f>
        <v>17</v>
      </c>
      <c r="C16" s="656">
        <f aca="true" t="shared" si="2" ref="C16:I16">SUM(C10:C15)</f>
        <v>0</v>
      </c>
      <c r="D16" s="556">
        <f t="shared" si="2"/>
        <v>2</v>
      </c>
      <c r="E16" s="556">
        <f t="shared" si="2"/>
        <v>19</v>
      </c>
      <c r="F16" s="556">
        <f t="shared" si="2"/>
        <v>17</v>
      </c>
      <c r="G16" s="656">
        <f t="shared" si="2"/>
        <v>0</v>
      </c>
      <c r="H16" s="556">
        <f t="shared" si="2"/>
        <v>2</v>
      </c>
      <c r="I16" s="556">
        <f t="shared" si="2"/>
        <v>19</v>
      </c>
    </row>
    <row r="17" spans="1:9" s="417" customFormat="1" ht="19.5" customHeight="1" thickBot="1">
      <c r="A17" s="503" t="s">
        <v>612</v>
      </c>
      <c r="B17" s="422"/>
      <c r="C17" s="423"/>
      <c r="D17" s="423"/>
      <c r="E17" s="424"/>
      <c r="F17" s="420"/>
      <c r="G17" s="420"/>
      <c r="H17" s="420"/>
      <c r="I17" s="421"/>
    </row>
    <row r="18" spans="1:9" s="417" customFormat="1" ht="19.5" customHeight="1">
      <c r="A18" s="418" t="s">
        <v>199</v>
      </c>
      <c r="B18" s="552">
        <v>1</v>
      </c>
      <c r="C18" s="533">
        <v>0</v>
      </c>
      <c r="D18" s="533">
        <v>0</v>
      </c>
      <c r="E18" s="555">
        <f>SUM(B18:D18)</f>
        <v>1</v>
      </c>
      <c r="F18" s="552">
        <v>1</v>
      </c>
      <c r="G18" s="533">
        <v>0</v>
      </c>
      <c r="H18" s="533">
        <v>0</v>
      </c>
      <c r="I18" s="555">
        <f>SUM(F18:H18)</f>
        <v>1</v>
      </c>
    </row>
    <row r="19" spans="1:9" s="417" customFormat="1" ht="19.5" customHeight="1">
      <c r="A19" s="418" t="s">
        <v>200</v>
      </c>
      <c r="B19" s="552">
        <v>1</v>
      </c>
      <c r="C19" s="533">
        <v>0</v>
      </c>
      <c r="D19" s="533">
        <v>0</v>
      </c>
      <c r="E19" s="555">
        <f>SUM(B19:D19)</f>
        <v>1</v>
      </c>
      <c r="F19" s="552">
        <v>1</v>
      </c>
      <c r="G19" s="533">
        <v>0</v>
      </c>
      <c r="H19" s="533">
        <v>0</v>
      </c>
      <c r="I19" s="555">
        <f>SUM(F19:H19)</f>
        <v>1</v>
      </c>
    </row>
    <row r="20" spans="1:9" s="417" customFormat="1" ht="19.5" customHeight="1">
      <c r="A20" s="418" t="s">
        <v>201</v>
      </c>
      <c r="B20" s="552">
        <v>81</v>
      </c>
      <c r="C20" s="553">
        <v>2</v>
      </c>
      <c r="D20" s="553">
        <v>1</v>
      </c>
      <c r="E20" s="555">
        <f>SUM(B20:D20)</f>
        <v>84</v>
      </c>
      <c r="F20" s="552">
        <v>64</v>
      </c>
      <c r="G20" s="553">
        <v>2</v>
      </c>
      <c r="H20" s="553">
        <v>1</v>
      </c>
      <c r="I20" s="555">
        <f>SUM(F20:H20)</f>
        <v>67</v>
      </c>
    </row>
    <row r="21" spans="1:9" s="417" customFormat="1" ht="19.5" customHeight="1">
      <c r="A21" s="418" t="s">
        <v>202</v>
      </c>
      <c r="B21" s="537">
        <v>0</v>
      </c>
      <c r="C21" s="533">
        <v>0</v>
      </c>
      <c r="D21" s="533">
        <v>0</v>
      </c>
      <c r="E21" s="538">
        <f>SUM(B21:D21)</f>
        <v>0</v>
      </c>
      <c r="F21" s="537">
        <v>0</v>
      </c>
      <c r="G21" s="533">
        <v>0</v>
      </c>
      <c r="H21" s="533">
        <v>0</v>
      </c>
      <c r="I21" s="538">
        <f>SUM(F21:H21)</f>
        <v>0</v>
      </c>
    </row>
    <row r="22" spans="1:9" s="417" customFormat="1" ht="19.5" customHeight="1" thickBot="1">
      <c r="A22" s="419" t="s">
        <v>203</v>
      </c>
      <c r="B22" s="557">
        <v>1</v>
      </c>
      <c r="C22" s="551">
        <v>0</v>
      </c>
      <c r="D22" s="551">
        <v>0</v>
      </c>
      <c r="E22" s="555">
        <f>SUM(B22:D22)</f>
        <v>1</v>
      </c>
      <c r="F22" s="557">
        <v>1</v>
      </c>
      <c r="G22" s="551">
        <v>0</v>
      </c>
      <c r="H22" s="551">
        <v>0</v>
      </c>
      <c r="I22" s="555">
        <f>SUM(F22:H22)</f>
        <v>1</v>
      </c>
    </row>
    <row r="23" spans="1:9" s="417" customFormat="1" ht="19.5" customHeight="1" thickBot="1">
      <c r="A23" s="550" t="s">
        <v>327</v>
      </c>
      <c r="B23" s="556">
        <f>SUM(B18:B22)</f>
        <v>84</v>
      </c>
      <c r="C23" s="556">
        <f aca="true" t="shared" si="3" ref="C23:I23">SUM(C18:C22)</f>
        <v>2</v>
      </c>
      <c r="D23" s="556">
        <f t="shared" si="3"/>
        <v>1</v>
      </c>
      <c r="E23" s="556">
        <f t="shared" si="3"/>
        <v>87</v>
      </c>
      <c r="F23" s="556">
        <f t="shared" si="3"/>
        <v>67</v>
      </c>
      <c r="G23" s="556">
        <f t="shared" si="3"/>
        <v>2</v>
      </c>
      <c r="H23" s="556">
        <f t="shared" si="3"/>
        <v>1</v>
      </c>
      <c r="I23" s="558">
        <f t="shared" si="3"/>
        <v>70</v>
      </c>
    </row>
    <row r="24" spans="1:9" s="417" customFormat="1" ht="19.5" customHeight="1">
      <c r="A24" s="844" t="s">
        <v>611</v>
      </c>
      <c r="B24" s="845"/>
      <c r="C24" s="845"/>
      <c r="D24" s="845"/>
      <c r="E24" s="845"/>
      <c r="F24" s="846"/>
      <c r="G24" s="846"/>
      <c r="H24" s="846"/>
      <c r="I24" s="847"/>
    </row>
    <row r="25" spans="1:10" s="417" customFormat="1" ht="19.5" customHeight="1">
      <c r="A25" s="425" t="s">
        <v>204</v>
      </c>
      <c r="B25" s="543">
        <f aca="true" t="shared" si="4" ref="B25:H25">B26+B27+B28+B30+B31+B35+B32+B33+B34+B36+B45+B29</f>
        <v>304</v>
      </c>
      <c r="C25" s="535">
        <f t="shared" si="4"/>
        <v>0</v>
      </c>
      <c r="D25" s="543">
        <f t="shared" si="4"/>
        <v>2</v>
      </c>
      <c r="E25" s="543">
        <f t="shared" si="4"/>
        <v>306</v>
      </c>
      <c r="F25" s="543">
        <f t="shared" si="4"/>
        <v>271</v>
      </c>
      <c r="G25" s="543">
        <f t="shared" si="4"/>
        <v>3</v>
      </c>
      <c r="H25" s="543">
        <f t="shared" si="4"/>
        <v>7</v>
      </c>
      <c r="I25" s="543">
        <f>I26+I27+I28+I30+I31+I35+I32+I33+I34+I36+I45+I29</f>
        <v>281</v>
      </c>
      <c r="J25" s="435"/>
    </row>
    <row r="26" spans="1:11" s="417" customFormat="1" ht="19.5" customHeight="1">
      <c r="A26" s="418" t="s">
        <v>205</v>
      </c>
      <c r="B26" s="427">
        <v>5</v>
      </c>
      <c r="C26" s="533">
        <v>0</v>
      </c>
      <c r="D26" s="426">
        <v>0.5</v>
      </c>
      <c r="E26" s="427">
        <f aca="true" t="shared" si="5" ref="E26:E35">SUM(B26:D26)</f>
        <v>5.5</v>
      </c>
      <c r="F26" s="427">
        <v>5</v>
      </c>
      <c r="G26" s="533">
        <v>0</v>
      </c>
      <c r="H26" s="426">
        <v>1</v>
      </c>
      <c r="I26" s="545">
        <f>SUM(F26:H26)</f>
        <v>6</v>
      </c>
      <c r="K26" s="435"/>
    </row>
    <row r="27" spans="1:11" s="417" customFormat="1" ht="19.5" customHeight="1">
      <c r="A27" s="418" t="s">
        <v>206</v>
      </c>
      <c r="B27" s="427">
        <v>13</v>
      </c>
      <c r="C27" s="533">
        <v>0</v>
      </c>
      <c r="D27" s="533">
        <v>0</v>
      </c>
      <c r="E27" s="427">
        <f t="shared" si="5"/>
        <v>13</v>
      </c>
      <c r="F27" s="427">
        <v>9</v>
      </c>
      <c r="G27" s="432">
        <v>1</v>
      </c>
      <c r="H27" s="533">
        <v>0</v>
      </c>
      <c r="I27" s="545">
        <f aca="true" t="shared" si="6" ref="I27:I35">SUM(F27:H27)</f>
        <v>10</v>
      </c>
      <c r="K27" s="435"/>
    </row>
    <row r="28" spans="1:11" s="417" customFormat="1" ht="19.5" customHeight="1">
      <c r="A28" s="428" t="s">
        <v>207</v>
      </c>
      <c r="B28" s="427">
        <v>2</v>
      </c>
      <c r="C28" s="533">
        <v>0</v>
      </c>
      <c r="D28" s="533">
        <v>0</v>
      </c>
      <c r="E28" s="427">
        <f t="shared" si="5"/>
        <v>2</v>
      </c>
      <c r="F28" s="537">
        <v>0</v>
      </c>
      <c r="G28" s="533">
        <v>0</v>
      </c>
      <c r="H28" s="533">
        <v>0</v>
      </c>
      <c r="I28" s="538">
        <f t="shared" si="6"/>
        <v>0</v>
      </c>
      <c r="K28" s="435"/>
    </row>
    <row r="29" spans="1:11" s="417" customFormat="1" ht="19.5" customHeight="1">
      <c r="A29" s="418" t="s">
        <v>366</v>
      </c>
      <c r="B29" s="427">
        <v>8</v>
      </c>
      <c r="C29" s="533">
        <v>0</v>
      </c>
      <c r="D29" s="533">
        <v>0</v>
      </c>
      <c r="E29" s="427">
        <f t="shared" si="5"/>
        <v>8</v>
      </c>
      <c r="F29" s="427">
        <v>8</v>
      </c>
      <c r="G29" s="533">
        <v>0</v>
      </c>
      <c r="H29" s="426">
        <v>1</v>
      </c>
      <c r="I29" s="545">
        <f t="shared" si="6"/>
        <v>9</v>
      </c>
      <c r="K29" s="435"/>
    </row>
    <row r="30" spans="1:12" s="417" customFormat="1" ht="19.5" customHeight="1">
      <c r="A30" s="418" t="s">
        <v>367</v>
      </c>
      <c r="B30" s="427">
        <v>22</v>
      </c>
      <c r="C30" s="533">
        <v>0</v>
      </c>
      <c r="D30" s="533">
        <v>0</v>
      </c>
      <c r="E30" s="427">
        <f t="shared" si="5"/>
        <v>22</v>
      </c>
      <c r="F30" s="427">
        <v>22</v>
      </c>
      <c r="G30" s="533">
        <v>0</v>
      </c>
      <c r="H30" s="533">
        <v>0</v>
      </c>
      <c r="I30" s="545">
        <f t="shared" si="6"/>
        <v>22</v>
      </c>
      <c r="K30" s="435"/>
      <c r="L30" s="542"/>
    </row>
    <row r="31" spans="1:11" s="417" customFormat="1" ht="19.5" customHeight="1">
      <c r="A31" s="418" t="s">
        <v>368</v>
      </c>
      <c r="B31" s="427">
        <v>13</v>
      </c>
      <c r="C31" s="533">
        <v>0</v>
      </c>
      <c r="D31" s="533">
        <v>0</v>
      </c>
      <c r="E31" s="427">
        <f t="shared" si="5"/>
        <v>13</v>
      </c>
      <c r="F31" s="427">
        <v>13</v>
      </c>
      <c r="G31" s="533">
        <v>0</v>
      </c>
      <c r="H31" s="533">
        <v>0</v>
      </c>
      <c r="I31" s="545">
        <f t="shared" si="6"/>
        <v>13</v>
      </c>
      <c r="K31" s="435"/>
    </row>
    <row r="32" spans="1:11" s="417" customFormat="1" ht="19.5" customHeight="1">
      <c r="A32" s="418" t="s">
        <v>208</v>
      </c>
      <c r="B32" s="427">
        <v>12</v>
      </c>
      <c r="C32" s="533">
        <v>0</v>
      </c>
      <c r="D32" s="426">
        <v>0.5</v>
      </c>
      <c r="E32" s="427">
        <f t="shared" si="5"/>
        <v>12.5</v>
      </c>
      <c r="F32" s="427">
        <v>12</v>
      </c>
      <c r="G32" s="533">
        <v>0</v>
      </c>
      <c r="H32" s="426">
        <v>1</v>
      </c>
      <c r="I32" s="545">
        <f t="shared" si="6"/>
        <v>13</v>
      </c>
      <c r="K32" s="435"/>
    </row>
    <row r="33" spans="1:11" s="417" customFormat="1" ht="36.75" customHeight="1">
      <c r="A33" s="429" t="s">
        <v>209</v>
      </c>
      <c r="B33" s="427">
        <v>12</v>
      </c>
      <c r="C33" s="533">
        <v>0</v>
      </c>
      <c r="D33" s="533">
        <v>0</v>
      </c>
      <c r="E33" s="427">
        <f t="shared" si="5"/>
        <v>12</v>
      </c>
      <c r="F33" s="427">
        <v>7</v>
      </c>
      <c r="G33" s="533">
        <v>0</v>
      </c>
      <c r="H33" s="533">
        <v>0</v>
      </c>
      <c r="I33" s="545">
        <f t="shared" si="6"/>
        <v>7</v>
      </c>
      <c r="K33" s="435"/>
    </row>
    <row r="34" spans="1:13" s="417" customFormat="1" ht="45.75" customHeight="1">
      <c r="A34" s="429" t="s">
        <v>210</v>
      </c>
      <c r="B34" s="427">
        <v>15</v>
      </c>
      <c r="C34" s="533">
        <v>0</v>
      </c>
      <c r="D34" s="533">
        <v>0</v>
      </c>
      <c r="E34" s="427">
        <f t="shared" si="5"/>
        <v>15</v>
      </c>
      <c r="F34" s="427">
        <v>9</v>
      </c>
      <c r="G34" s="426">
        <v>2</v>
      </c>
      <c r="H34" s="426">
        <v>2</v>
      </c>
      <c r="I34" s="545">
        <f t="shared" si="6"/>
        <v>13</v>
      </c>
      <c r="K34" s="435"/>
      <c r="L34" s="534"/>
      <c r="M34" s="534"/>
    </row>
    <row r="35" spans="1:11" s="417" customFormat="1" ht="33.75" customHeight="1">
      <c r="A35" s="429" t="s">
        <v>361</v>
      </c>
      <c r="B35" s="427">
        <v>12</v>
      </c>
      <c r="C35" s="533">
        <v>0</v>
      </c>
      <c r="D35" s="533">
        <v>0</v>
      </c>
      <c r="E35" s="427">
        <f t="shared" si="5"/>
        <v>12</v>
      </c>
      <c r="F35" s="427">
        <v>3</v>
      </c>
      <c r="G35" s="539">
        <v>0</v>
      </c>
      <c r="H35" s="561">
        <v>1</v>
      </c>
      <c r="I35" s="545">
        <f t="shared" si="6"/>
        <v>4</v>
      </c>
      <c r="K35" s="435"/>
    </row>
    <row r="36" spans="1:11" s="417" customFormat="1" ht="19.5" customHeight="1">
      <c r="A36" s="430" t="s">
        <v>211</v>
      </c>
      <c r="B36" s="548">
        <f aca="true" t="shared" si="7" ref="B36:I36">SUM(B37:B44)</f>
        <v>179</v>
      </c>
      <c r="C36" s="536">
        <f t="shared" si="7"/>
        <v>0</v>
      </c>
      <c r="D36" s="548">
        <f t="shared" si="7"/>
        <v>1</v>
      </c>
      <c r="E36" s="548">
        <f t="shared" si="7"/>
        <v>180</v>
      </c>
      <c r="F36" s="548">
        <f t="shared" si="7"/>
        <v>172</v>
      </c>
      <c r="G36" s="536">
        <f t="shared" si="7"/>
        <v>0</v>
      </c>
      <c r="H36" s="548">
        <f t="shared" si="7"/>
        <v>1</v>
      </c>
      <c r="I36" s="549">
        <f t="shared" si="7"/>
        <v>173</v>
      </c>
      <c r="K36" s="435"/>
    </row>
    <row r="37" spans="1:11" s="417" customFormat="1" ht="19.5" customHeight="1">
      <c r="A37" s="418" t="s">
        <v>212</v>
      </c>
      <c r="B37" s="562">
        <v>30</v>
      </c>
      <c r="C37" s="533">
        <v>0</v>
      </c>
      <c r="D37" s="533">
        <v>0</v>
      </c>
      <c r="E37" s="431">
        <f>SUM(B37:D37)</f>
        <v>30</v>
      </c>
      <c r="F37" s="562">
        <v>29</v>
      </c>
      <c r="G37" s="533">
        <v>0</v>
      </c>
      <c r="H37" s="533">
        <v>0</v>
      </c>
      <c r="I37" s="545">
        <f>F37+(G37*0.75)+(H37*0.5)</f>
        <v>29</v>
      </c>
      <c r="K37" s="435"/>
    </row>
    <row r="38" spans="1:11" s="417" customFormat="1" ht="19.5" customHeight="1">
      <c r="A38" s="418" t="s">
        <v>213</v>
      </c>
      <c r="B38" s="562">
        <v>23</v>
      </c>
      <c r="C38" s="533">
        <v>0</v>
      </c>
      <c r="D38" s="533">
        <v>0</v>
      </c>
      <c r="E38" s="431">
        <f>SUM(B38:D38)</f>
        <v>23</v>
      </c>
      <c r="F38" s="562">
        <v>23</v>
      </c>
      <c r="G38" s="533">
        <v>0</v>
      </c>
      <c r="H38" s="533">
        <v>0</v>
      </c>
      <c r="I38" s="545">
        <f aca="true" t="shared" si="8" ref="I38:I47">SUM(F38:H38)</f>
        <v>23</v>
      </c>
      <c r="K38" s="435"/>
    </row>
    <row r="39" spans="1:11" s="417" customFormat="1" ht="19.5" customHeight="1">
      <c r="A39" s="418" t="s">
        <v>214</v>
      </c>
      <c r="B39" s="562">
        <v>20</v>
      </c>
      <c r="C39" s="533">
        <v>0</v>
      </c>
      <c r="D39" s="533">
        <v>0</v>
      </c>
      <c r="E39" s="431">
        <f aca="true" t="shared" si="9" ref="E39:E44">SUM(B39:D39)</f>
        <v>20</v>
      </c>
      <c r="F39" s="562">
        <v>19</v>
      </c>
      <c r="G39" s="533">
        <v>0</v>
      </c>
      <c r="H39" s="533">
        <v>0</v>
      </c>
      <c r="I39" s="545">
        <f t="shared" si="8"/>
        <v>19</v>
      </c>
      <c r="K39" s="435"/>
    </row>
    <row r="40" spans="1:11" s="417" customFormat="1" ht="19.5" customHeight="1">
      <c r="A40" s="418" t="s">
        <v>675</v>
      </c>
      <c r="B40" s="562">
        <v>13</v>
      </c>
      <c r="C40" s="533">
        <v>0</v>
      </c>
      <c r="D40" s="533">
        <v>0</v>
      </c>
      <c r="E40" s="431">
        <f>SUM(B40:D40)</f>
        <v>13</v>
      </c>
      <c r="F40" s="562">
        <v>11</v>
      </c>
      <c r="G40" s="533">
        <v>0</v>
      </c>
      <c r="H40" s="533">
        <v>0</v>
      </c>
      <c r="I40" s="545">
        <f>SUM(F40:H40)</f>
        <v>11</v>
      </c>
      <c r="K40" s="435"/>
    </row>
    <row r="41" spans="1:11" s="417" customFormat="1" ht="19.5" customHeight="1">
      <c r="A41" s="418" t="s">
        <v>676</v>
      </c>
      <c r="B41" s="562">
        <v>9</v>
      </c>
      <c r="C41" s="533">
        <v>0</v>
      </c>
      <c r="D41" s="533">
        <v>0.5</v>
      </c>
      <c r="E41" s="431">
        <f>SUM(B41:D41)</f>
        <v>9.5</v>
      </c>
      <c r="F41" s="562">
        <v>9</v>
      </c>
      <c r="G41" s="533">
        <v>0</v>
      </c>
      <c r="H41" s="563">
        <v>1</v>
      </c>
      <c r="I41" s="545">
        <f>SUM(F41:H41)</f>
        <v>10</v>
      </c>
      <c r="K41" s="435"/>
    </row>
    <row r="42" spans="1:11" s="417" customFormat="1" ht="19.5" customHeight="1">
      <c r="A42" s="418" t="s">
        <v>215</v>
      </c>
      <c r="B42" s="562">
        <v>37</v>
      </c>
      <c r="C42" s="533">
        <v>0</v>
      </c>
      <c r="D42" s="533">
        <v>0</v>
      </c>
      <c r="E42" s="431">
        <f t="shared" si="9"/>
        <v>37</v>
      </c>
      <c r="F42" s="562">
        <v>35</v>
      </c>
      <c r="G42" s="533">
        <v>0</v>
      </c>
      <c r="H42" s="533">
        <v>0</v>
      </c>
      <c r="I42" s="545">
        <f t="shared" si="8"/>
        <v>35</v>
      </c>
      <c r="K42" s="435"/>
    </row>
    <row r="43" spans="1:11" s="417" customFormat="1" ht="19.5" customHeight="1">
      <c r="A43" s="418" t="s">
        <v>216</v>
      </c>
      <c r="B43" s="427">
        <v>20</v>
      </c>
      <c r="C43" s="533">
        <v>0</v>
      </c>
      <c r="D43" s="533">
        <v>0</v>
      </c>
      <c r="E43" s="431">
        <f t="shared" si="9"/>
        <v>20</v>
      </c>
      <c r="F43" s="427">
        <v>20</v>
      </c>
      <c r="G43" s="533">
        <v>0</v>
      </c>
      <c r="H43" s="533">
        <v>0</v>
      </c>
      <c r="I43" s="545">
        <f t="shared" si="8"/>
        <v>20</v>
      </c>
      <c r="K43" s="435"/>
    </row>
    <row r="44" spans="1:11" s="417" customFormat="1" ht="19.5" customHeight="1">
      <c r="A44" s="418" t="s">
        <v>217</v>
      </c>
      <c r="B44" s="427">
        <v>27</v>
      </c>
      <c r="C44" s="533">
        <v>0</v>
      </c>
      <c r="D44" s="533">
        <v>0.5</v>
      </c>
      <c r="E44" s="431">
        <f t="shared" si="9"/>
        <v>27.5</v>
      </c>
      <c r="F44" s="427">
        <v>26</v>
      </c>
      <c r="G44" s="533">
        <v>0</v>
      </c>
      <c r="H44" s="533">
        <v>0</v>
      </c>
      <c r="I44" s="545">
        <f t="shared" si="8"/>
        <v>26</v>
      </c>
      <c r="K44" s="435"/>
    </row>
    <row r="45" spans="1:11" s="417" customFormat="1" ht="19.5" customHeight="1">
      <c r="A45" s="418" t="s">
        <v>218</v>
      </c>
      <c r="B45" s="427">
        <v>11</v>
      </c>
      <c r="C45" s="533">
        <v>0</v>
      </c>
      <c r="D45" s="533">
        <v>0</v>
      </c>
      <c r="E45" s="431">
        <f>SUM(B45:D45)</f>
        <v>11</v>
      </c>
      <c r="F45" s="427">
        <v>11</v>
      </c>
      <c r="G45" s="533">
        <v>0</v>
      </c>
      <c r="H45" s="533">
        <v>0</v>
      </c>
      <c r="I45" s="545">
        <f t="shared" si="8"/>
        <v>11</v>
      </c>
      <c r="K45" s="435"/>
    </row>
    <row r="46" spans="1:11" s="417" customFormat="1" ht="19.5" customHeight="1">
      <c r="A46" s="425" t="s">
        <v>113</v>
      </c>
      <c r="B46" s="543">
        <v>2</v>
      </c>
      <c r="C46" s="540">
        <v>0</v>
      </c>
      <c r="D46" s="540">
        <v>0</v>
      </c>
      <c r="E46" s="433">
        <f>SUM(B46:D46)</f>
        <v>2</v>
      </c>
      <c r="F46" s="543">
        <v>2</v>
      </c>
      <c r="G46" s="540">
        <v>0</v>
      </c>
      <c r="H46" s="540">
        <v>0</v>
      </c>
      <c r="I46" s="546">
        <f t="shared" si="8"/>
        <v>2</v>
      </c>
      <c r="K46" s="435"/>
    </row>
    <row r="47" spans="1:11" s="417" customFormat="1" ht="19.5" customHeight="1" thickBot="1">
      <c r="A47" s="438" t="s">
        <v>362</v>
      </c>
      <c r="B47" s="544">
        <v>1</v>
      </c>
      <c r="C47" s="541">
        <v>0</v>
      </c>
      <c r="D47" s="541">
        <v>0</v>
      </c>
      <c r="E47" s="439">
        <f>SUM(B47:D47)</f>
        <v>1</v>
      </c>
      <c r="F47" s="544">
        <v>1</v>
      </c>
      <c r="G47" s="541">
        <v>0</v>
      </c>
      <c r="H47" s="541">
        <v>0</v>
      </c>
      <c r="I47" s="547">
        <f t="shared" si="8"/>
        <v>1</v>
      </c>
      <c r="K47" s="435"/>
    </row>
    <row r="48" spans="1:11" s="417" customFormat="1" ht="19.5" customHeight="1" thickBot="1" thickTop="1">
      <c r="A48" s="440" t="s">
        <v>219</v>
      </c>
      <c r="B48" s="559">
        <f aca="true" t="shared" si="10" ref="B48:I48">SUM(B16+B23+B25+B46+B47)</f>
        <v>408</v>
      </c>
      <c r="C48" s="559">
        <f t="shared" si="10"/>
        <v>2</v>
      </c>
      <c r="D48" s="559">
        <f t="shared" si="10"/>
        <v>5</v>
      </c>
      <c r="E48" s="559">
        <f t="shared" si="10"/>
        <v>415</v>
      </c>
      <c r="F48" s="559">
        <f t="shared" si="10"/>
        <v>358</v>
      </c>
      <c r="G48" s="559">
        <f t="shared" si="10"/>
        <v>5</v>
      </c>
      <c r="H48" s="559">
        <f t="shared" si="10"/>
        <v>10</v>
      </c>
      <c r="I48" s="560">
        <f t="shared" si="10"/>
        <v>373</v>
      </c>
      <c r="K48" s="435"/>
    </row>
    <row r="49" spans="1:9" s="417" customFormat="1" ht="19.5" customHeight="1" thickTop="1">
      <c r="A49" s="434"/>
      <c r="E49" s="435"/>
      <c r="F49" s="435"/>
      <c r="I49" s="435"/>
    </row>
    <row r="50" s="417" customFormat="1" ht="19.5" customHeight="1">
      <c r="A50" s="434"/>
    </row>
    <row r="53" ht="15.75">
      <c r="C53" s="564"/>
    </row>
  </sheetData>
  <sheetProtection/>
  <mergeCells count="16">
    <mergeCell ref="G7:G8"/>
    <mergeCell ref="H7:H8"/>
    <mergeCell ref="A9:I9"/>
    <mergeCell ref="A24:I24"/>
    <mergeCell ref="A5:A8"/>
    <mergeCell ref="B5:E5"/>
    <mergeCell ref="A3:I3"/>
    <mergeCell ref="F5:I5"/>
    <mergeCell ref="B6:B8"/>
    <mergeCell ref="C6:D6"/>
    <mergeCell ref="E6:E8"/>
    <mergeCell ref="F6:F8"/>
    <mergeCell ref="G6:H6"/>
    <mergeCell ref="I6:I8"/>
    <mergeCell ref="C7:C8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workbookViewId="0" topLeftCell="A1">
      <selection activeCell="Q19" sqref="Q19"/>
    </sheetView>
  </sheetViews>
  <sheetFormatPr defaultColWidth="9.00390625" defaultRowHeight="12.75"/>
  <cols>
    <col min="1" max="1" width="42.125" style="81" bestFit="1" customWidth="1"/>
    <col min="2" max="8" width="12.00390625" style="81" bestFit="1" customWidth="1"/>
    <col min="9" max="10" width="12.25390625" style="81" bestFit="1" customWidth="1"/>
    <col min="11" max="13" width="12.00390625" style="81" bestFit="1" customWidth="1"/>
    <col min="14" max="14" width="15.875" style="81" customWidth="1"/>
    <col min="15" max="15" width="16.375" style="83" bestFit="1" customWidth="1"/>
    <col min="16" max="16" width="16.375" style="81" bestFit="1" customWidth="1"/>
    <col min="17" max="17" width="12.00390625" style="81" bestFit="1" customWidth="1"/>
    <col min="18" max="16384" width="9.125" style="81" customWidth="1"/>
  </cols>
  <sheetData>
    <row r="1" spans="1:14" ht="15">
      <c r="A1" s="444" t="s">
        <v>1</v>
      </c>
      <c r="L1" s="82"/>
      <c r="N1" s="11" t="s">
        <v>314</v>
      </c>
    </row>
    <row r="3" spans="1:14" ht="15.75">
      <c r="A3" s="853" t="s">
        <v>731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</row>
    <row r="4" spans="1:14" ht="15.75">
      <c r="A4" s="854" t="s">
        <v>595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ht="13.5" thickBot="1"/>
    <row r="6" spans="1:14" ht="19.5" customHeight="1" thickBot="1" thickTop="1">
      <c r="A6" s="445" t="s">
        <v>134</v>
      </c>
      <c r="B6" s="446" t="s">
        <v>315</v>
      </c>
      <c r="C6" s="446" t="s">
        <v>316</v>
      </c>
      <c r="D6" s="446" t="s">
        <v>317</v>
      </c>
      <c r="E6" s="446" t="s">
        <v>318</v>
      </c>
      <c r="F6" s="446" t="s">
        <v>319</v>
      </c>
      <c r="G6" s="446" t="s">
        <v>320</v>
      </c>
      <c r="H6" s="446" t="s">
        <v>321</v>
      </c>
      <c r="I6" s="446" t="s">
        <v>322</v>
      </c>
      <c r="J6" s="446" t="s">
        <v>323</v>
      </c>
      <c r="K6" s="446" t="s">
        <v>324</v>
      </c>
      <c r="L6" s="446" t="s">
        <v>325</v>
      </c>
      <c r="M6" s="446" t="s">
        <v>326</v>
      </c>
      <c r="N6" s="447" t="s">
        <v>327</v>
      </c>
    </row>
    <row r="7" spans="1:14" ht="19.5" customHeight="1" thickTop="1">
      <c r="A7" s="709" t="s">
        <v>17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1"/>
    </row>
    <row r="8" spans="1:16" ht="19.5" customHeight="1">
      <c r="A8" s="712" t="s">
        <v>768</v>
      </c>
      <c r="B8" s="454">
        <v>282541526</v>
      </c>
      <c r="C8" s="454">
        <v>188361018</v>
      </c>
      <c r="D8" s="454">
        <v>188361018</v>
      </c>
      <c r="E8" s="454">
        <v>188361018</v>
      </c>
      <c r="F8" s="454">
        <v>188361018</v>
      </c>
      <c r="G8" s="454">
        <v>188361018</v>
      </c>
      <c r="H8" s="454">
        <v>188361018</v>
      </c>
      <c r="I8" s="454">
        <v>188361018</v>
      </c>
      <c r="J8" s="454">
        <v>188361017</v>
      </c>
      <c r="K8" s="454">
        <v>188361017</v>
      </c>
      <c r="L8" s="454">
        <v>188361017</v>
      </c>
      <c r="M8" s="454">
        <v>188361017</v>
      </c>
      <c r="N8" s="713">
        <f>SUM(B8:M8)</f>
        <v>2354512720</v>
      </c>
      <c r="P8" s="83"/>
    </row>
    <row r="9" spans="1:16" ht="19.5" customHeight="1">
      <c r="A9" s="704" t="s">
        <v>598</v>
      </c>
      <c r="B9" s="88">
        <v>9185786</v>
      </c>
      <c r="C9" s="88">
        <v>39185786</v>
      </c>
      <c r="D9" s="88">
        <v>1050000000</v>
      </c>
      <c r="E9" s="88">
        <v>94453967</v>
      </c>
      <c r="F9" s="88">
        <v>39185786</v>
      </c>
      <c r="G9" s="88">
        <v>39185786</v>
      </c>
      <c r="H9" s="88">
        <v>39185786</v>
      </c>
      <c r="I9" s="88">
        <v>148076705</v>
      </c>
      <c r="J9" s="88">
        <v>1050000000</v>
      </c>
      <c r="K9" s="88">
        <v>152010822</v>
      </c>
      <c r="L9" s="88">
        <v>39185786</v>
      </c>
      <c r="M9" s="88">
        <v>228561422</v>
      </c>
      <c r="N9" s="713">
        <f>SUM(B9:M9)</f>
        <v>2928217632</v>
      </c>
      <c r="P9" s="83"/>
    </row>
    <row r="10" spans="1:14" ht="19.5" customHeight="1">
      <c r="A10" s="704" t="s">
        <v>599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713"/>
    </row>
    <row r="11" spans="1:16" ht="19.5" customHeight="1">
      <c r="A11" s="704" t="s">
        <v>7</v>
      </c>
      <c r="B11" s="84">
        <f>6481910+396576</f>
        <v>6878486</v>
      </c>
      <c r="C11" s="84">
        <v>396576</v>
      </c>
      <c r="D11" s="84">
        <f>396576+150000000</f>
        <v>150396576</v>
      </c>
      <c r="E11" s="84">
        <v>396576</v>
      </c>
      <c r="F11" s="84">
        <v>396576</v>
      </c>
      <c r="G11" s="84">
        <v>396585</v>
      </c>
      <c r="H11" s="84">
        <v>396576</v>
      </c>
      <c r="I11" s="84">
        <v>396576</v>
      </c>
      <c r="J11" s="84">
        <v>396576</v>
      </c>
      <c r="K11" s="84">
        <v>396576</v>
      </c>
      <c r="L11" s="84">
        <v>396576</v>
      </c>
      <c r="M11" s="84">
        <v>396576</v>
      </c>
      <c r="N11" s="713">
        <f>SUM(B11:M11)</f>
        <v>161240831</v>
      </c>
      <c r="P11" s="83"/>
    </row>
    <row r="12" spans="1:16" ht="19.5" customHeight="1">
      <c r="A12" s="704" t="s">
        <v>600</v>
      </c>
      <c r="B12" s="84"/>
      <c r="C12" s="85"/>
      <c r="D12" s="85">
        <v>1200000000</v>
      </c>
      <c r="E12" s="85">
        <v>461045283</v>
      </c>
      <c r="F12" s="85"/>
      <c r="G12" s="84"/>
      <c r="H12" s="85"/>
      <c r="I12" s="85"/>
      <c r="J12" s="85"/>
      <c r="K12" s="85"/>
      <c r="L12" s="85"/>
      <c r="M12" s="85"/>
      <c r="N12" s="713">
        <f>SUM(B12:M12)</f>
        <v>1661045283</v>
      </c>
      <c r="P12" s="83"/>
    </row>
    <row r="13" spans="1:16" ht="19.5" customHeight="1" thickBot="1">
      <c r="A13" s="714" t="s">
        <v>601</v>
      </c>
      <c r="B13" s="715"/>
      <c r="C13" s="715"/>
      <c r="D13" s="715"/>
      <c r="E13" s="715"/>
      <c r="F13" s="715"/>
      <c r="G13" s="716">
        <v>350000000</v>
      </c>
      <c r="H13" s="715">
        <v>400000000</v>
      </c>
      <c r="I13" s="715">
        <v>500000000</v>
      </c>
      <c r="J13" s="715">
        <v>50460000</v>
      </c>
      <c r="K13" s="715"/>
      <c r="L13" s="715"/>
      <c r="M13" s="715"/>
      <c r="N13" s="717">
        <f>SUM(B13:M13)</f>
        <v>1300460000</v>
      </c>
      <c r="P13" s="83"/>
    </row>
    <row r="14" spans="1:16" ht="19.5" customHeight="1" thickBot="1" thickTop="1">
      <c r="A14" s="448" t="s">
        <v>597</v>
      </c>
      <c r="B14" s="449">
        <f>SUM(B8:B13)</f>
        <v>298605798</v>
      </c>
      <c r="C14" s="449">
        <f aca="true" t="shared" si="0" ref="C14:M14">SUM(C8:C13)</f>
        <v>227943380</v>
      </c>
      <c r="D14" s="449">
        <f t="shared" si="0"/>
        <v>2588757594</v>
      </c>
      <c r="E14" s="449">
        <f t="shared" si="0"/>
        <v>744256844</v>
      </c>
      <c r="F14" s="449">
        <f t="shared" si="0"/>
        <v>227943380</v>
      </c>
      <c r="G14" s="449">
        <f t="shared" si="0"/>
        <v>577943389</v>
      </c>
      <c r="H14" s="449">
        <f t="shared" si="0"/>
        <v>627943380</v>
      </c>
      <c r="I14" s="449">
        <f t="shared" si="0"/>
        <v>836834299</v>
      </c>
      <c r="J14" s="449">
        <f t="shared" si="0"/>
        <v>1289217593</v>
      </c>
      <c r="K14" s="449">
        <f t="shared" si="0"/>
        <v>340768415</v>
      </c>
      <c r="L14" s="449">
        <f t="shared" si="0"/>
        <v>227943379</v>
      </c>
      <c r="M14" s="449">
        <f t="shared" si="0"/>
        <v>417319015</v>
      </c>
      <c r="N14" s="450">
        <f>SUM(N8:N13)</f>
        <v>8405476466</v>
      </c>
      <c r="P14" s="83"/>
    </row>
    <row r="15" spans="1:14" ht="19.5" customHeight="1" thickTop="1">
      <c r="A15" s="710"/>
      <c r="B15" s="718"/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</row>
    <row r="16" spans="1:14" ht="19.5" customHeight="1">
      <c r="A16" s="719" t="s">
        <v>109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6" ht="19.5" customHeight="1">
      <c r="A17" s="704" t="s">
        <v>260</v>
      </c>
      <c r="B17" s="84">
        <f>116833804+435000000</f>
        <v>551833804</v>
      </c>
      <c r="C17" s="84">
        <f>286833804+40740578</f>
        <v>327574382</v>
      </c>
      <c r="D17" s="84">
        <v>386422500</v>
      </c>
      <c r="E17" s="84">
        <v>336833804</v>
      </c>
      <c r="F17" s="84">
        <v>342336591</v>
      </c>
      <c r="G17" s="84">
        <v>342336591</v>
      </c>
      <c r="H17" s="84">
        <v>542336591</v>
      </c>
      <c r="I17" s="84">
        <v>442336591</v>
      </c>
      <c r="J17" s="84">
        <v>442336591</v>
      </c>
      <c r="K17" s="84">
        <v>375353312</v>
      </c>
      <c r="L17" s="84">
        <v>236833804</v>
      </c>
      <c r="M17" s="84">
        <v>436833804</v>
      </c>
      <c r="N17" s="705">
        <f>SUM(B17:M17)</f>
        <v>4763368365</v>
      </c>
      <c r="P17" s="83"/>
    </row>
    <row r="18" spans="1:16" ht="19.5" customHeight="1">
      <c r="A18" s="720" t="s">
        <v>743</v>
      </c>
      <c r="B18" s="84">
        <v>63169543</v>
      </c>
      <c r="C18" s="84">
        <v>42113032</v>
      </c>
      <c r="D18" s="84">
        <v>42113032</v>
      </c>
      <c r="E18" s="84">
        <v>42113032</v>
      </c>
      <c r="F18" s="84">
        <v>42113032</v>
      </c>
      <c r="G18" s="84">
        <v>42113032</v>
      </c>
      <c r="H18" s="84">
        <v>42113032</v>
      </c>
      <c r="I18" s="84">
        <v>42113032</v>
      </c>
      <c r="J18" s="84">
        <v>42113032</v>
      </c>
      <c r="K18" s="84">
        <v>42113032</v>
      </c>
      <c r="L18" s="84">
        <v>42113032</v>
      </c>
      <c r="M18" s="84">
        <v>42113032</v>
      </c>
      <c r="N18" s="705">
        <f>SUM(B18:M18)</f>
        <v>526412895</v>
      </c>
      <c r="P18" s="83"/>
    </row>
    <row r="19" spans="1:16" ht="19.5" customHeight="1">
      <c r="A19" s="720" t="s">
        <v>302</v>
      </c>
      <c r="B19" s="84">
        <v>500000</v>
      </c>
      <c r="C19" s="84">
        <v>920000</v>
      </c>
      <c r="D19" s="84">
        <v>920000</v>
      </c>
      <c r="E19" s="84">
        <v>920000</v>
      </c>
      <c r="F19" s="84">
        <v>920000</v>
      </c>
      <c r="G19" s="84">
        <v>920000</v>
      </c>
      <c r="H19" s="84">
        <v>920000</v>
      </c>
      <c r="I19" s="84">
        <v>920000</v>
      </c>
      <c r="J19" s="84">
        <v>920000</v>
      </c>
      <c r="K19" s="84">
        <v>920000</v>
      </c>
      <c r="L19" s="84">
        <v>920000</v>
      </c>
      <c r="M19" s="84">
        <v>1300000</v>
      </c>
      <c r="N19" s="705">
        <f aca="true" t="shared" si="1" ref="N19:N24">SUM(B19:M19)</f>
        <v>11000000</v>
      </c>
      <c r="O19" s="702"/>
      <c r="P19" s="83"/>
    </row>
    <row r="20" spans="1:16" ht="19.5" customHeight="1">
      <c r="A20" s="704" t="s">
        <v>769</v>
      </c>
      <c r="B20" s="84"/>
      <c r="C20" s="84"/>
      <c r="D20" s="84">
        <v>50000000</v>
      </c>
      <c r="E20" s="87">
        <v>16750000</v>
      </c>
      <c r="F20" s="87">
        <f>51676808-3394580</f>
        <v>48282228</v>
      </c>
      <c r="G20" s="87">
        <v>12350000</v>
      </c>
      <c r="H20" s="87">
        <v>16356000</v>
      </c>
      <c r="I20" s="87">
        <v>16356000</v>
      </c>
      <c r="J20" s="87">
        <v>13978736</v>
      </c>
      <c r="K20" s="87">
        <v>16356000</v>
      </c>
      <c r="L20" s="87">
        <v>16356000</v>
      </c>
      <c r="M20" s="87">
        <v>16356807</v>
      </c>
      <c r="N20" s="705">
        <f t="shared" si="1"/>
        <v>223141771</v>
      </c>
      <c r="O20" s="702"/>
      <c r="P20" s="83"/>
    </row>
    <row r="21" spans="1:16" ht="19.5" customHeight="1">
      <c r="A21" s="704" t="s">
        <v>770</v>
      </c>
      <c r="B21" s="84">
        <v>60000000</v>
      </c>
      <c r="C21" s="84">
        <v>50000000</v>
      </c>
      <c r="D21" s="84">
        <v>150000000</v>
      </c>
      <c r="E21" s="84">
        <v>250000000</v>
      </c>
      <c r="F21" s="84">
        <v>216000000</v>
      </c>
      <c r="G21" s="84">
        <v>258000000</v>
      </c>
      <c r="H21" s="84">
        <f>724000000-50706087</f>
        <v>673293913</v>
      </c>
      <c r="I21" s="84">
        <v>160000000</v>
      </c>
      <c r="J21" s="84">
        <v>188279832</v>
      </c>
      <c r="K21" s="84">
        <v>325947735</v>
      </c>
      <c r="L21" s="84">
        <v>192687455</v>
      </c>
      <c r="M21" s="84">
        <v>23387546</v>
      </c>
      <c r="N21" s="705">
        <f t="shared" si="1"/>
        <v>2547596481</v>
      </c>
      <c r="P21" s="83"/>
    </row>
    <row r="22" spans="1:16" ht="19.5" customHeight="1">
      <c r="A22" s="704" t="s">
        <v>307</v>
      </c>
      <c r="B22" s="84"/>
      <c r="C22" s="84"/>
      <c r="D22" s="88">
        <v>8110000</v>
      </c>
      <c r="E22" s="88">
        <v>8110000</v>
      </c>
      <c r="F22" s="88">
        <v>15432000</v>
      </c>
      <c r="G22" s="88">
        <v>7413258</v>
      </c>
      <c r="H22" s="88">
        <v>23400000</v>
      </c>
      <c r="I22" s="88">
        <v>22576000</v>
      </c>
      <c r="J22" s="88">
        <v>17813000</v>
      </c>
      <c r="K22" s="88">
        <v>16584000</v>
      </c>
      <c r="L22" s="84">
        <v>17256000</v>
      </c>
      <c r="M22" s="88">
        <f>110000+3972187</f>
        <v>4082187</v>
      </c>
      <c r="N22" s="705">
        <f t="shared" si="1"/>
        <v>140776445</v>
      </c>
      <c r="P22" s="83"/>
    </row>
    <row r="23" spans="1:16" ht="19.5" customHeight="1">
      <c r="A23" s="704" t="s">
        <v>602</v>
      </c>
      <c r="B23" s="84"/>
      <c r="C23" s="84"/>
      <c r="D23" s="84">
        <v>50000</v>
      </c>
      <c r="E23" s="84">
        <v>500000</v>
      </c>
      <c r="F23" s="84">
        <v>11412190</v>
      </c>
      <c r="G23" s="84">
        <v>1500000</v>
      </c>
      <c r="H23" s="84">
        <v>5000000</v>
      </c>
      <c r="I23" s="84">
        <f>50000000-35778617</f>
        <v>14221383</v>
      </c>
      <c r="J23" s="84">
        <v>22500000</v>
      </c>
      <c r="K23" s="84">
        <v>25000000</v>
      </c>
      <c r="L23" s="84">
        <v>1592234</v>
      </c>
      <c r="M23" s="84">
        <v>17224193</v>
      </c>
      <c r="N23" s="705">
        <f t="shared" si="1"/>
        <v>99000000</v>
      </c>
      <c r="P23" s="83"/>
    </row>
    <row r="24" spans="1:16" ht="19.5" customHeight="1" thickBot="1">
      <c r="A24" s="706" t="s">
        <v>225</v>
      </c>
      <c r="B24" s="707">
        <v>94180509</v>
      </c>
      <c r="C24" s="707"/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8">
        <f t="shared" si="1"/>
        <v>94180509</v>
      </c>
      <c r="P24" s="83"/>
    </row>
    <row r="25" spans="1:17" ht="19.5" customHeight="1" thickBot="1" thickTop="1">
      <c r="A25" s="451" t="s">
        <v>603</v>
      </c>
      <c r="B25" s="452">
        <f>SUM(B17:B24)</f>
        <v>769683856</v>
      </c>
      <c r="C25" s="452">
        <f aca="true" t="shared" si="2" ref="C25:N25">SUM(C17:C24)</f>
        <v>420607414</v>
      </c>
      <c r="D25" s="452">
        <f t="shared" si="2"/>
        <v>637615532</v>
      </c>
      <c r="E25" s="452">
        <f t="shared" si="2"/>
        <v>655226836</v>
      </c>
      <c r="F25" s="452">
        <f t="shared" si="2"/>
        <v>676496041</v>
      </c>
      <c r="G25" s="452">
        <f t="shared" si="2"/>
        <v>664632881</v>
      </c>
      <c r="H25" s="452">
        <f t="shared" si="2"/>
        <v>1303419536</v>
      </c>
      <c r="I25" s="452">
        <f t="shared" si="2"/>
        <v>698523006</v>
      </c>
      <c r="J25" s="452">
        <f t="shared" si="2"/>
        <v>727941191</v>
      </c>
      <c r="K25" s="452">
        <f t="shared" si="2"/>
        <v>802274079</v>
      </c>
      <c r="L25" s="452">
        <f t="shared" si="2"/>
        <v>507758525</v>
      </c>
      <c r="M25" s="452">
        <f t="shared" si="2"/>
        <v>541297569</v>
      </c>
      <c r="N25" s="453">
        <f t="shared" si="2"/>
        <v>8405476466</v>
      </c>
      <c r="P25" s="83"/>
      <c r="Q25" s="83"/>
    </row>
    <row r="26" ht="19.5" customHeight="1" thickTop="1">
      <c r="A26" s="89"/>
    </row>
    <row r="27" spans="1:15" s="86" customFormat="1" ht="19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90"/>
      <c r="O27" s="703"/>
    </row>
    <row r="28" spans="2:4" ht="19.5" customHeight="1">
      <c r="B28" s="83"/>
      <c r="C28" s="83"/>
      <c r="D28" s="83"/>
    </row>
    <row r="29" ht="19.5" customHeight="1">
      <c r="E29" s="83"/>
    </row>
    <row r="30" spans="5:14" ht="19.5" customHeight="1">
      <c r="E30" s="83"/>
      <c r="N30" s="83"/>
    </row>
    <row r="31" ht="19.5" customHeight="1">
      <c r="E31" s="83"/>
    </row>
    <row r="32" ht="19.5" customHeight="1">
      <c r="E32" s="83"/>
    </row>
    <row r="33" ht="12.75">
      <c r="E33" s="83"/>
    </row>
  </sheetData>
  <sheetProtection/>
  <mergeCells count="2">
    <mergeCell ref="A3:N3"/>
    <mergeCell ref="A4:N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selection activeCell="G31" sqref="G31"/>
    </sheetView>
  </sheetViews>
  <sheetFormatPr defaultColWidth="9.00390625" defaultRowHeight="12.75"/>
  <cols>
    <col min="1" max="1" width="7.75390625" style="95" customWidth="1"/>
    <col min="2" max="2" width="58.25390625" style="95" customWidth="1"/>
    <col min="3" max="3" width="48.00390625" style="95" customWidth="1"/>
    <col min="4" max="4" width="16.625" style="95" customWidth="1"/>
    <col min="5" max="5" width="21.125" style="95" customWidth="1"/>
    <col min="6" max="6" width="20.875" style="95" customWidth="1"/>
    <col min="7" max="7" width="13.75390625" style="95" customWidth="1"/>
    <col min="8" max="8" width="18.625" style="95" customWidth="1"/>
    <col min="9" max="9" width="20.25390625" style="95" customWidth="1"/>
    <col min="10" max="10" width="22.625" style="95" customWidth="1"/>
    <col min="11" max="15" width="10.75390625" style="95" customWidth="1"/>
    <col min="16" max="17" width="10.75390625" style="95" hidden="1" customWidth="1"/>
    <col min="18" max="20" width="10.75390625" style="95" customWidth="1"/>
    <col min="21" max="21" width="10.125" style="95" bestFit="1" customWidth="1"/>
    <col min="22" max="16384" width="9.125" style="95" customWidth="1"/>
  </cols>
  <sheetData>
    <row r="1" spans="1:6" ht="15.75">
      <c r="A1" s="95" t="s">
        <v>1</v>
      </c>
      <c r="F1" s="455" t="s">
        <v>604</v>
      </c>
    </row>
    <row r="3" spans="1:6" ht="31.5" customHeight="1">
      <c r="A3" s="859" t="s">
        <v>605</v>
      </c>
      <c r="B3" s="859"/>
      <c r="C3" s="859"/>
      <c r="D3" s="859"/>
      <c r="E3" s="859"/>
      <c r="F3" s="859"/>
    </row>
    <row r="4" spans="1:6" ht="20.25" customHeight="1">
      <c r="A4" s="860" t="s">
        <v>606</v>
      </c>
      <c r="B4" s="860"/>
      <c r="C4" s="860"/>
      <c r="D4" s="860"/>
      <c r="E4" s="860"/>
      <c r="F4" s="860"/>
    </row>
    <row r="5" spans="1:20" s="93" customFormat="1" ht="31.5" customHeight="1" thickBot="1">
      <c r="A5" s="91"/>
      <c r="B5" s="861"/>
      <c r="C5" s="861"/>
      <c r="D5" s="861"/>
      <c r="E5" s="861"/>
      <c r="F5" s="861"/>
      <c r="G5" s="861"/>
      <c r="H5" s="861"/>
      <c r="I5" s="861"/>
      <c r="J5" s="92"/>
      <c r="K5" s="857"/>
      <c r="L5" s="857"/>
      <c r="M5" s="857"/>
      <c r="N5" s="857"/>
      <c r="O5" s="857"/>
      <c r="P5" s="857"/>
      <c r="Q5" s="857"/>
      <c r="R5" s="857"/>
      <c r="S5" s="857"/>
      <c r="T5" s="92"/>
    </row>
    <row r="6" spans="1:20" s="456" customFormat="1" ht="31.5" customHeight="1" thickBot="1" thickTop="1">
      <c r="A6" s="457" t="s">
        <v>41</v>
      </c>
      <c r="B6" s="458" t="s">
        <v>328</v>
      </c>
      <c r="C6" s="458" t="s">
        <v>329</v>
      </c>
      <c r="D6" s="458" t="s">
        <v>330</v>
      </c>
      <c r="E6" s="458" t="s">
        <v>331</v>
      </c>
      <c r="F6" s="459" t="s">
        <v>54</v>
      </c>
      <c r="G6" s="114"/>
      <c r="H6" s="393"/>
      <c r="I6" s="393"/>
      <c r="J6" s="394"/>
      <c r="K6" s="394"/>
      <c r="L6" s="394"/>
      <c r="M6" s="394"/>
      <c r="N6" s="394"/>
      <c r="O6" s="394"/>
      <c r="P6" s="862"/>
      <c r="Q6" s="862"/>
      <c r="R6" s="394"/>
      <c r="S6" s="394"/>
      <c r="T6" s="394"/>
    </row>
    <row r="7" spans="1:20" s="93" customFormat="1" ht="24.75" customHeight="1" thickTop="1">
      <c r="A7" s="460" t="s">
        <v>43</v>
      </c>
      <c r="B7" s="461" t="s">
        <v>332</v>
      </c>
      <c r="C7" s="462" t="s">
        <v>408</v>
      </c>
      <c r="D7" s="646">
        <v>0</v>
      </c>
      <c r="E7" s="649">
        <v>159601667</v>
      </c>
      <c r="F7" s="650">
        <f>SUM(D7:E7)</f>
        <v>159601667</v>
      </c>
      <c r="G7" s="94"/>
      <c r="H7" s="94"/>
      <c r="I7" s="96"/>
      <c r="J7" s="97"/>
      <c r="K7" s="98"/>
      <c r="L7" s="98"/>
      <c r="M7" s="98"/>
      <c r="N7" s="98"/>
      <c r="O7" s="98"/>
      <c r="P7" s="98"/>
      <c r="Q7" s="98"/>
      <c r="R7" s="98"/>
      <c r="S7" s="97"/>
      <c r="T7" s="97"/>
    </row>
    <row r="8" spans="1:22" s="93" customFormat="1" ht="24.75" customHeight="1">
      <c r="A8" s="463" t="s">
        <v>45</v>
      </c>
      <c r="B8" s="464" t="s">
        <v>333</v>
      </c>
      <c r="C8" s="464"/>
      <c r="D8" s="465">
        <f>SUM(D10:D13)</f>
        <v>61411361</v>
      </c>
      <c r="E8" s="465">
        <f>SUM(E10:E13)</f>
        <v>141407255</v>
      </c>
      <c r="F8" s="466">
        <f>SUM(D8:E8)</f>
        <v>202818616</v>
      </c>
      <c r="G8" s="94"/>
      <c r="H8" s="94"/>
      <c r="I8" s="96"/>
      <c r="J8" s="97"/>
      <c r="K8" s="98"/>
      <c r="L8" s="98"/>
      <c r="M8" s="98"/>
      <c r="N8" s="98"/>
      <c r="O8" s="98"/>
      <c r="P8" s="98"/>
      <c r="Q8" s="98"/>
      <c r="R8" s="98"/>
      <c r="S8" s="97"/>
      <c r="T8" s="97"/>
      <c r="V8" s="99"/>
    </row>
    <row r="9" spans="1:20" s="93" customFormat="1" ht="24.75" customHeight="1">
      <c r="A9" s="467"/>
      <c r="B9" s="468" t="s">
        <v>334</v>
      </c>
      <c r="C9" s="469" t="s">
        <v>335</v>
      </c>
      <c r="D9" s="645">
        <v>0</v>
      </c>
      <c r="E9" s="465">
        <f>SUM(E10:E12)</f>
        <v>141407255</v>
      </c>
      <c r="F9" s="644">
        <v>0</v>
      </c>
      <c r="G9" s="94"/>
      <c r="H9" s="94"/>
      <c r="I9" s="96"/>
      <c r="J9" s="97"/>
      <c r="K9" s="98"/>
      <c r="L9" s="98"/>
      <c r="M9" s="98"/>
      <c r="N9" s="98"/>
      <c r="O9" s="98"/>
      <c r="P9" s="98"/>
      <c r="Q9" s="98"/>
      <c r="R9" s="98"/>
      <c r="S9" s="97"/>
      <c r="T9" s="97"/>
    </row>
    <row r="10" spans="1:20" s="93" customFormat="1" ht="24.75" customHeight="1">
      <c r="A10" s="467"/>
      <c r="B10" s="469" t="s">
        <v>336</v>
      </c>
      <c r="C10" s="469"/>
      <c r="D10" s="645">
        <v>0</v>
      </c>
      <c r="E10" s="465">
        <v>46698165</v>
      </c>
      <c r="F10" s="644">
        <v>0</v>
      </c>
      <c r="G10" s="94"/>
      <c r="H10" s="136"/>
      <c r="I10" s="96"/>
      <c r="J10" s="97"/>
      <c r="K10" s="98"/>
      <c r="L10" s="98"/>
      <c r="M10" s="98"/>
      <c r="N10" s="98"/>
      <c r="O10" s="98"/>
      <c r="P10" s="98"/>
      <c r="Q10" s="98"/>
      <c r="R10" s="98"/>
      <c r="S10" s="97"/>
      <c r="T10" s="97"/>
    </row>
    <row r="11" spans="1:20" s="93" customFormat="1" ht="24.75" customHeight="1">
      <c r="A11" s="467"/>
      <c r="B11" s="469" t="s">
        <v>337</v>
      </c>
      <c r="C11" s="469"/>
      <c r="D11" s="645">
        <v>0</v>
      </c>
      <c r="E11" s="465">
        <v>35956352</v>
      </c>
      <c r="F11" s="644">
        <v>0</v>
      </c>
      <c r="G11" s="94"/>
      <c r="H11" s="136"/>
      <c r="I11" s="96"/>
      <c r="J11" s="96"/>
      <c r="K11" s="98"/>
      <c r="L11" s="98"/>
      <c r="M11" s="98"/>
      <c r="N11" s="98"/>
      <c r="O11" s="98"/>
      <c r="P11" s="98"/>
      <c r="Q11" s="98"/>
      <c r="R11" s="98"/>
      <c r="S11" s="97"/>
      <c r="T11" s="97"/>
    </row>
    <row r="12" spans="1:20" s="93" customFormat="1" ht="24.75" customHeight="1">
      <c r="A12" s="467"/>
      <c r="B12" s="469" t="s">
        <v>338</v>
      </c>
      <c r="C12" s="469"/>
      <c r="D12" s="645">
        <v>0</v>
      </c>
      <c r="E12" s="465">
        <v>58752738</v>
      </c>
      <c r="F12" s="644">
        <v>0</v>
      </c>
      <c r="G12" s="94"/>
      <c r="H12" s="136"/>
      <c r="I12" s="96"/>
      <c r="J12" s="97"/>
      <c r="K12" s="98"/>
      <c r="L12" s="98"/>
      <c r="M12" s="98"/>
      <c r="N12" s="98"/>
      <c r="O12" s="98"/>
      <c r="P12" s="98"/>
      <c r="Q12" s="98"/>
      <c r="R12" s="98"/>
      <c r="S12" s="97"/>
      <c r="T12" s="97"/>
    </row>
    <row r="13" spans="1:20" s="93" customFormat="1" ht="24.75" customHeight="1" thickBot="1">
      <c r="A13" s="467"/>
      <c r="B13" s="468" t="s">
        <v>339</v>
      </c>
      <c r="C13" s="469" t="s">
        <v>340</v>
      </c>
      <c r="D13" s="465">
        <v>61411361</v>
      </c>
      <c r="E13" s="647">
        <v>0</v>
      </c>
      <c r="F13" s="644">
        <v>0</v>
      </c>
      <c r="G13" s="94"/>
      <c r="H13" s="94"/>
      <c r="I13" s="96"/>
      <c r="J13" s="97"/>
      <c r="K13" s="98"/>
      <c r="L13" s="98"/>
      <c r="M13" s="98"/>
      <c r="N13" s="98"/>
      <c r="O13" s="98"/>
      <c r="P13" s="98"/>
      <c r="Q13" s="98"/>
      <c r="R13" s="98"/>
      <c r="S13" s="97"/>
      <c r="T13" s="97"/>
    </row>
    <row r="14" spans="1:20" s="93" customFormat="1" ht="24.75" customHeight="1" thickBot="1" thickTop="1">
      <c r="A14" s="470"/>
      <c r="B14" s="471" t="s">
        <v>187</v>
      </c>
      <c r="C14" s="471"/>
      <c r="D14" s="472">
        <f>SUM(D7:D8)</f>
        <v>61411361</v>
      </c>
      <c r="E14" s="472">
        <f>SUM(E7:E8)</f>
        <v>301008922</v>
      </c>
      <c r="F14" s="473">
        <f>SUM(F7:F8)</f>
        <v>362420283</v>
      </c>
      <c r="G14" s="94"/>
      <c r="H14" s="101"/>
      <c r="I14" s="102"/>
      <c r="J14" s="103"/>
      <c r="K14" s="100"/>
      <c r="L14" s="100"/>
      <c r="M14" s="100"/>
      <c r="N14" s="100"/>
      <c r="O14" s="100"/>
      <c r="P14" s="100"/>
      <c r="Q14" s="100"/>
      <c r="R14" s="100"/>
      <c r="S14" s="103"/>
      <c r="T14" s="97"/>
    </row>
    <row r="15" spans="1:9" ht="16.5" thickTop="1">
      <c r="A15" s="41"/>
      <c r="B15" s="94"/>
      <c r="C15" s="94"/>
      <c r="D15" s="94"/>
      <c r="E15" s="94"/>
      <c r="F15" s="94"/>
      <c r="G15" s="94"/>
      <c r="H15" s="41"/>
      <c r="I15" s="41"/>
    </row>
    <row r="16" spans="1:9" ht="60" customHeight="1">
      <c r="A16" s="104"/>
      <c r="B16" s="648"/>
      <c r="C16" s="648"/>
      <c r="D16" s="648"/>
      <c r="E16" s="648"/>
      <c r="F16" s="648"/>
      <c r="G16" s="94"/>
      <c r="H16" s="41"/>
      <c r="I16" s="41"/>
    </row>
    <row r="17" spans="1:9" ht="15.75">
      <c r="A17" s="41"/>
      <c r="B17" s="94"/>
      <c r="C17" s="94"/>
      <c r="D17" s="94"/>
      <c r="E17" s="94"/>
      <c r="F17" s="94"/>
      <c r="G17" s="94"/>
      <c r="H17" s="41"/>
      <c r="I17" s="41"/>
    </row>
    <row r="18" spans="1:20" ht="15.75">
      <c r="A18" s="41"/>
      <c r="B18" s="94"/>
      <c r="C18" s="94"/>
      <c r="D18" s="94"/>
      <c r="E18" s="94"/>
      <c r="F18" s="94"/>
      <c r="G18" s="94"/>
      <c r="H18" s="41"/>
      <c r="I18" s="41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9" ht="15.75">
      <c r="A19" s="41"/>
      <c r="B19" s="94"/>
      <c r="C19" s="94"/>
      <c r="D19" s="94"/>
      <c r="E19" s="94"/>
      <c r="F19" s="106"/>
      <c r="G19" s="94"/>
      <c r="H19" s="41"/>
      <c r="I19" s="41"/>
    </row>
    <row r="20" spans="1:20" ht="16.5">
      <c r="A20" s="855"/>
      <c r="B20" s="108"/>
      <c r="C20" s="108"/>
      <c r="D20" s="108"/>
      <c r="E20" s="108"/>
      <c r="F20" s="108"/>
      <c r="G20" s="108"/>
      <c r="H20" s="107"/>
      <c r="I20" s="109"/>
      <c r="J20" s="110"/>
      <c r="K20" s="857"/>
      <c r="L20" s="857"/>
      <c r="M20" s="857"/>
      <c r="N20" s="857"/>
      <c r="O20" s="857"/>
      <c r="P20" s="857"/>
      <c r="Q20" s="857"/>
      <c r="R20" s="92"/>
      <c r="S20" s="110"/>
      <c r="T20" s="110"/>
    </row>
    <row r="21" spans="1:20" ht="16.5">
      <c r="A21" s="856"/>
      <c r="B21" s="108"/>
      <c r="C21" s="108"/>
      <c r="D21" s="108"/>
      <c r="E21" s="108"/>
      <c r="F21" s="108"/>
      <c r="G21" s="108"/>
      <c r="H21" s="111"/>
      <c r="I21" s="111"/>
      <c r="J21" s="112"/>
      <c r="K21" s="112"/>
      <c r="L21" s="112"/>
      <c r="M21" s="112"/>
      <c r="N21" s="112"/>
      <c r="O21" s="112"/>
      <c r="P21" s="858"/>
      <c r="Q21" s="112"/>
      <c r="R21" s="112"/>
      <c r="S21" s="112"/>
      <c r="T21" s="112"/>
    </row>
    <row r="22" spans="1:20" ht="16.5">
      <c r="A22" s="856"/>
      <c r="B22" s="108"/>
      <c r="C22" s="108"/>
      <c r="D22" s="108"/>
      <c r="E22" s="108"/>
      <c r="F22" s="108"/>
      <c r="G22" s="108"/>
      <c r="H22" s="111"/>
      <c r="I22" s="111"/>
      <c r="J22" s="112"/>
      <c r="K22" s="112"/>
      <c r="L22" s="112"/>
      <c r="M22" s="112"/>
      <c r="N22" s="112"/>
      <c r="O22" s="112"/>
      <c r="P22" s="858"/>
      <c r="Q22" s="112"/>
      <c r="R22" s="112"/>
      <c r="S22" s="112"/>
      <c r="T22" s="112"/>
    </row>
    <row r="23" spans="1:20" ht="16.5">
      <c r="A23" s="856"/>
      <c r="B23" s="108"/>
      <c r="C23" s="108"/>
      <c r="D23" s="108"/>
      <c r="E23" s="108"/>
      <c r="F23" s="108"/>
      <c r="G23" s="108"/>
      <c r="H23" s="113"/>
      <c r="I23" s="114"/>
      <c r="J23" s="115"/>
      <c r="K23" s="116"/>
      <c r="L23" s="116"/>
      <c r="M23" s="116"/>
      <c r="N23" s="116"/>
      <c r="O23" s="116"/>
      <c r="P23" s="116"/>
      <c r="Q23" s="116"/>
      <c r="R23" s="116"/>
      <c r="S23" s="115"/>
      <c r="T23" s="115"/>
    </row>
    <row r="24" spans="1:20" ht="16.5">
      <c r="A24" s="117"/>
      <c r="B24" s="108"/>
      <c r="C24" s="108"/>
      <c r="D24" s="108"/>
      <c r="E24" s="108"/>
      <c r="F24" s="108"/>
      <c r="G24" s="108"/>
      <c r="H24" s="94"/>
      <c r="I24" s="96"/>
      <c r="J24" s="118"/>
      <c r="K24" s="119"/>
      <c r="L24" s="119"/>
      <c r="M24" s="119"/>
      <c r="N24" s="119"/>
      <c r="O24" s="119"/>
      <c r="P24" s="119"/>
      <c r="Q24" s="119"/>
      <c r="R24" s="119"/>
      <c r="S24" s="118"/>
      <c r="T24" s="118"/>
    </row>
    <row r="25" spans="1:20" ht="16.5">
      <c r="A25" s="117"/>
      <c r="B25" s="108"/>
      <c r="C25" s="108"/>
      <c r="D25" s="108"/>
      <c r="E25" s="108"/>
      <c r="F25" s="108"/>
      <c r="G25" s="108"/>
      <c r="H25" s="94"/>
      <c r="I25" s="96"/>
      <c r="J25" s="118"/>
      <c r="K25" s="119"/>
      <c r="L25" s="119"/>
      <c r="M25" s="119"/>
      <c r="N25" s="119"/>
      <c r="O25" s="119"/>
      <c r="P25" s="119"/>
      <c r="Q25" s="119"/>
      <c r="R25" s="119"/>
      <c r="S25" s="118"/>
      <c r="T25" s="118"/>
    </row>
    <row r="26" spans="1:20" ht="16.5">
      <c r="A26" s="117"/>
      <c r="B26" s="108"/>
      <c r="C26" s="108"/>
      <c r="D26" s="108"/>
      <c r="E26" s="120"/>
      <c r="F26" s="108"/>
      <c r="G26" s="108"/>
      <c r="H26" s="94"/>
      <c r="I26" s="96"/>
      <c r="J26" s="118"/>
      <c r="K26" s="119"/>
      <c r="L26" s="119"/>
      <c r="M26" s="119"/>
      <c r="N26" s="119"/>
      <c r="O26" s="119"/>
      <c r="P26" s="119"/>
      <c r="Q26" s="119"/>
      <c r="R26" s="119"/>
      <c r="S26" s="118"/>
      <c r="T26" s="118"/>
    </row>
    <row r="27" spans="1:20" ht="15.75">
      <c r="A27" s="121"/>
      <c r="B27" s="121"/>
      <c r="C27" s="121"/>
      <c r="D27" s="121"/>
      <c r="E27" s="121"/>
      <c r="F27" s="121"/>
      <c r="G27" s="121"/>
      <c r="H27" s="121"/>
      <c r="I27" s="121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15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</sheetData>
  <sheetProtection/>
  <mergeCells count="8">
    <mergeCell ref="A20:A23"/>
    <mergeCell ref="K20:Q20"/>
    <mergeCell ref="P21:P22"/>
    <mergeCell ref="A3:F3"/>
    <mergeCell ref="A4:F4"/>
    <mergeCell ref="B5:I5"/>
    <mergeCell ref="K5:S5"/>
    <mergeCell ref="P6:Q6"/>
  </mergeCells>
  <printOptions horizontalCentered="1"/>
  <pageMargins left="0.7874015748031497" right="0.7874015748031497" top="1.5748031496062993" bottom="0.7874015748031497" header="0.7874015748031497" footer="0.7874015748031497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workbookViewId="0" topLeftCell="A7">
      <selection activeCell="J21" sqref="J21"/>
    </sheetView>
  </sheetViews>
  <sheetFormatPr defaultColWidth="9.00390625" defaultRowHeight="12.75"/>
  <cols>
    <col min="1" max="1" width="12.125" style="1" customWidth="1"/>
    <col min="2" max="2" width="62.25390625" style="1" customWidth="1"/>
    <col min="3" max="5" width="16.625" style="65" customWidth="1"/>
    <col min="6" max="16384" width="9.125" style="1" customWidth="1"/>
  </cols>
  <sheetData>
    <row r="1" spans="1:5" ht="15.75">
      <c r="A1" s="474" t="s">
        <v>1</v>
      </c>
      <c r="C1" s="11"/>
      <c r="D1" s="11"/>
      <c r="E1" s="10" t="s">
        <v>607</v>
      </c>
    </row>
    <row r="2" spans="3:5" ht="12.75">
      <c r="C2" s="11"/>
      <c r="D2" s="11"/>
      <c r="E2" s="11"/>
    </row>
    <row r="4" spans="1:5" ht="18.75">
      <c r="A4" s="863" t="s">
        <v>780</v>
      </c>
      <c r="B4" s="863"/>
      <c r="C4" s="863"/>
      <c r="D4" s="863"/>
      <c r="E4" s="863"/>
    </row>
    <row r="5" spans="1:5" ht="18.75">
      <c r="A5" s="865" t="s">
        <v>606</v>
      </c>
      <c r="B5" s="865"/>
      <c r="C5" s="865"/>
      <c r="D5" s="865"/>
      <c r="E5" s="865"/>
    </row>
    <row r="6" spans="1:5" ht="19.5" thickBot="1">
      <c r="A6" s="864"/>
      <c r="B6" s="864"/>
      <c r="C6" s="864"/>
      <c r="D6" s="496"/>
      <c r="E6" s="496"/>
    </row>
    <row r="7" spans="1:5" ht="65.25" customHeight="1" thickBot="1" thickTop="1">
      <c r="A7" s="479" t="s">
        <v>504</v>
      </c>
      <c r="B7" s="478" t="s">
        <v>341</v>
      </c>
      <c r="C7" s="480" t="s">
        <v>781</v>
      </c>
      <c r="D7" s="480" t="s">
        <v>782</v>
      </c>
      <c r="E7" s="201" t="s">
        <v>783</v>
      </c>
    </row>
    <row r="8" spans="1:5" ht="15.75" customHeight="1" hidden="1">
      <c r="A8" s="123"/>
      <c r="B8" s="13" t="s">
        <v>42</v>
      </c>
      <c r="C8" s="475"/>
      <c r="D8" s="476"/>
      <c r="E8" s="477"/>
    </row>
    <row r="9" spans="1:5" ht="16.5" customHeight="1" hidden="1" thickBot="1">
      <c r="A9" s="123"/>
      <c r="B9" s="13" t="s">
        <v>18</v>
      </c>
      <c r="C9" s="475"/>
      <c r="D9" s="476"/>
      <c r="E9" s="477"/>
    </row>
    <row r="10" spans="1:5" s="481" customFormat="1" ht="24" customHeight="1" thickTop="1">
      <c r="A10" s="483" t="s">
        <v>44</v>
      </c>
      <c r="B10" s="484" t="s">
        <v>3</v>
      </c>
      <c r="C10" s="485">
        <v>2400000000</v>
      </c>
      <c r="D10" s="485">
        <f>SUM(C10)*101.5/100</f>
        <v>2436000000</v>
      </c>
      <c r="E10" s="485">
        <f>SUM(D10)*101.5/100</f>
        <v>2472540000</v>
      </c>
    </row>
    <row r="11" spans="1:5" s="481" customFormat="1" ht="24" customHeight="1">
      <c r="A11" s="223" t="s">
        <v>57</v>
      </c>
      <c r="B11" s="222" t="s">
        <v>58</v>
      </c>
      <c r="C11" s="226">
        <v>0</v>
      </c>
      <c r="D11" s="226">
        <v>0</v>
      </c>
      <c r="E11" s="226">
        <v>0</v>
      </c>
    </row>
    <row r="12" spans="1:5" s="481" customFormat="1" ht="24" customHeight="1">
      <c r="A12" s="224" t="s">
        <v>62</v>
      </c>
      <c r="B12" s="222" t="s">
        <v>5</v>
      </c>
      <c r="C12" s="225">
        <v>2700000000</v>
      </c>
      <c r="D12" s="229">
        <v>2750000000</v>
      </c>
      <c r="E12" s="229">
        <v>2800000000</v>
      </c>
    </row>
    <row r="13" spans="1:5" s="481" customFormat="1" ht="27" customHeight="1">
      <c r="A13" s="224" t="s">
        <v>67</v>
      </c>
      <c r="B13" s="482" t="s">
        <v>6</v>
      </c>
      <c r="C13" s="225">
        <v>410000000</v>
      </c>
      <c r="D13" s="229">
        <v>420000000</v>
      </c>
      <c r="E13" s="229">
        <v>430000000</v>
      </c>
    </row>
    <row r="14" spans="1:5" s="481" customFormat="1" ht="24" customHeight="1">
      <c r="A14" s="224" t="s">
        <v>77</v>
      </c>
      <c r="B14" s="222" t="s">
        <v>7</v>
      </c>
      <c r="C14" s="229">
        <v>4600000</v>
      </c>
      <c r="D14" s="229">
        <v>4500000</v>
      </c>
      <c r="E14" s="229">
        <v>4300000</v>
      </c>
    </row>
    <row r="15" spans="1:5" s="481" customFormat="1" ht="24" customHeight="1">
      <c r="A15" s="224" t="s">
        <v>79</v>
      </c>
      <c r="B15" s="222" t="s">
        <v>80</v>
      </c>
      <c r="C15" s="226">
        <v>0</v>
      </c>
      <c r="D15" s="226">
        <v>0</v>
      </c>
      <c r="E15" s="226">
        <v>0</v>
      </c>
    </row>
    <row r="16" spans="1:5" s="481" customFormat="1" ht="24" customHeight="1">
      <c r="A16" s="726" t="s">
        <v>82</v>
      </c>
      <c r="B16" s="727" t="s">
        <v>14</v>
      </c>
      <c r="C16" s="728">
        <v>0</v>
      </c>
      <c r="D16" s="728">
        <v>0</v>
      </c>
      <c r="E16" s="728">
        <v>0</v>
      </c>
    </row>
    <row r="17" spans="1:5" ht="24" customHeight="1">
      <c r="A17" s="729"/>
      <c r="B17" s="730" t="s">
        <v>85</v>
      </c>
      <c r="C17" s="227">
        <f>SUM(C10:C16)</f>
        <v>5514600000</v>
      </c>
      <c r="D17" s="227">
        <f>SUM(D10+D12+D13+D14)</f>
        <v>5610500000</v>
      </c>
      <c r="E17" s="227">
        <f>SUM(E10+E12+E13+E14)</f>
        <v>5706840000</v>
      </c>
    </row>
    <row r="18" spans="1:5" s="481" customFormat="1" ht="24" customHeight="1" thickBot="1">
      <c r="A18" s="486" t="s">
        <v>86</v>
      </c>
      <c r="B18" s="487" t="s">
        <v>13</v>
      </c>
      <c r="C18" s="488">
        <v>350000000</v>
      </c>
      <c r="D18" s="488">
        <v>230000000</v>
      </c>
      <c r="E18" s="488">
        <v>370000000</v>
      </c>
    </row>
    <row r="19" spans="1:5" ht="24" customHeight="1" thickBot="1" thickTop="1">
      <c r="A19" s="489"/>
      <c r="B19" s="490" t="s">
        <v>90</v>
      </c>
      <c r="C19" s="491">
        <f>SUM(C17:C18)</f>
        <v>5864600000</v>
      </c>
      <c r="D19" s="491">
        <f>SUM(D17:D18)</f>
        <v>5840500000</v>
      </c>
      <c r="E19" s="245">
        <f>SUM(E17:E18)</f>
        <v>6076840000</v>
      </c>
    </row>
    <row r="20" spans="1:5" ht="14.25" thickBot="1" thickTop="1">
      <c r="A20" s="497"/>
      <c r="B20" s="497"/>
      <c r="C20" s="498"/>
      <c r="D20" s="498"/>
      <c r="E20" s="498"/>
    </row>
    <row r="21" spans="1:5" ht="52.5" customHeight="1" thickBot="1" thickTop="1">
      <c r="A21" s="479" t="s">
        <v>504</v>
      </c>
      <c r="B21" s="478" t="s">
        <v>341</v>
      </c>
      <c r="C21" s="480" t="s">
        <v>781</v>
      </c>
      <c r="D21" s="480" t="s">
        <v>782</v>
      </c>
      <c r="E21" s="201" t="s">
        <v>783</v>
      </c>
    </row>
    <row r="22" spans="1:5" ht="24.75" customHeight="1" thickTop="1">
      <c r="A22" s="734" t="s">
        <v>261</v>
      </c>
      <c r="B22" s="750" t="s">
        <v>489</v>
      </c>
      <c r="C22" s="492">
        <v>1930000000</v>
      </c>
      <c r="D22" s="492">
        <f>SUM(C22*100.5%)</f>
        <v>1939649999.9999998</v>
      </c>
      <c r="E22" s="492">
        <f>SUM(D22)*100.5%</f>
        <v>1949348249.9999995</v>
      </c>
    </row>
    <row r="23" spans="1:5" ht="24.75" customHeight="1">
      <c r="A23" s="203" t="s">
        <v>262</v>
      </c>
      <c r="B23" s="215" t="s">
        <v>263</v>
      </c>
      <c r="C23" s="212">
        <v>310000000</v>
      </c>
      <c r="D23" s="212">
        <f>SUM(D22*17.5%)</f>
        <v>339438749.99999994</v>
      </c>
      <c r="E23" s="212">
        <f>SUM(D23)*100.5%</f>
        <v>341135943.7499999</v>
      </c>
    </row>
    <row r="24" spans="1:5" ht="24.75" customHeight="1">
      <c r="A24" s="203" t="s">
        <v>264</v>
      </c>
      <c r="B24" s="215" t="s">
        <v>490</v>
      </c>
      <c r="C24" s="212">
        <v>2550000000</v>
      </c>
      <c r="D24" s="212">
        <v>2600000000</v>
      </c>
      <c r="E24" s="212">
        <v>2650000000</v>
      </c>
    </row>
    <row r="25" spans="1:5" ht="24.75" customHeight="1">
      <c r="A25" s="204" t="s">
        <v>265</v>
      </c>
      <c r="B25" s="215" t="s">
        <v>491</v>
      </c>
      <c r="C25" s="212">
        <f>SUM('5.sz.kiadás_feladat '!G78)</f>
        <v>11000000</v>
      </c>
      <c r="D25" s="212">
        <f>SUM(C25)*101%</f>
        <v>11110000</v>
      </c>
      <c r="E25" s="212">
        <f>SUM(D25*101%)</f>
        <v>11221100</v>
      </c>
    </row>
    <row r="26" spans="1:5" ht="24.75" customHeight="1">
      <c r="A26" s="205" t="s">
        <v>266</v>
      </c>
      <c r="B26" s="216" t="s">
        <v>267</v>
      </c>
      <c r="C26" s="212">
        <v>170000000</v>
      </c>
      <c r="D26" s="212">
        <f>SUM(C26)*0.855</f>
        <v>145350000</v>
      </c>
      <c r="E26" s="212">
        <f>SUM(D26)*101.5/100</f>
        <v>147530250</v>
      </c>
    </row>
    <row r="27" spans="1:5" ht="24.75" customHeight="1">
      <c r="A27" s="205" t="s">
        <v>271</v>
      </c>
      <c r="B27" s="216" t="s">
        <v>272</v>
      </c>
      <c r="C27" s="212">
        <f>SUM('10.sz.céltartalék'!C6)</f>
        <v>21000000</v>
      </c>
      <c r="D27" s="212">
        <v>23000000</v>
      </c>
      <c r="E27" s="212">
        <v>25000000</v>
      </c>
    </row>
    <row r="28" spans="1:5" ht="24.75" customHeight="1">
      <c r="A28" s="205" t="s">
        <v>273</v>
      </c>
      <c r="B28" s="216" t="s">
        <v>110</v>
      </c>
      <c r="C28" s="212">
        <v>707600000</v>
      </c>
      <c r="D28" s="212">
        <v>680201250</v>
      </c>
      <c r="E28" s="212">
        <v>851833206</v>
      </c>
    </row>
    <row r="29" spans="1:5" s="65" customFormat="1" ht="24.75" customHeight="1">
      <c r="A29" s="203" t="s">
        <v>284</v>
      </c>
      <c r="B29" s="215" t="s">
        <v>111</v>
      </c>
      <c r="C29" s="212">
        <v>60000000</v>
      </c>
      <c r="D29" s="212">
        <f>SUM(C29)*0.45</f>
        <v>27000000</v>
      </c>
      <c r="E29" s="212">
        <f>SUM(D29)*0.95</f>
        <v>25650000</v>
      </c>
    </row>
    <row r="30" spans="1:5" ht="24.75" customHeight="1">
      <c r="A30" s="204" t="s">
        <v>289</v>
      </c>
      <c r="B30" s="215" t="s">
        <v>290</v>
      </c>
      <c r="C30" s="212">
        <v>55000000</v>
      </c>
      <c r="D30" s="212">
        <f>SUM(C30)*45%</f>
        <v>24750000</v>
      </c>
      <c r="E30" s="212">
        <f>SUM(D30)*101.5/100</f>
        <v>25121250</v>
      </c>
    </row>
    <row r="31" spans="1:5" ht="24.75" customHeight="1">
      <c r="A31" s="205"/>
      <c r="B31" s="215" t="s">
        <v>224</v>
      </c>
      <c r="C31" s="212">
        <v>50000000</v>
      </c>
      <c r="D31" s="212">
        <v>50000000</v>
      </c>
      <c r="E31" s="212">
        <v>50000000</v>
      </c>
    </row>
    <row r="32" spans="1:5" ht="24.75" customHeight="1">
      <c r="A32" s="731"/>
      <c r="B32" s="217" t="s">
        <v>295</v>
      </c>
      <c r="C32" s="213">
        <f>SUM(C22:C31)</f>
        <v>5864600000</v>
      </c>
      <c r="D32" s="213">
        <f>SUM(D22+D23+D24+D25+D26+D27+D28+D29+D30+D31)</f>
        <v>5840500000</v>
      </c>
      <c r="E32" s="213">
        <f>SUM(E22+E23+E24+E25+E26+E27+E28+E29+E30+E31)</f>
        <v>6076839999.75</v>
      </c>
    </row>
    <row r="33" spans="1:5" s="65" customFormat="1" ht="24.75" customHeight="1" thickBot="1">
      <c r="A33" s="732" t="s">
        <v>296</v>
      </c>
      <c r="B33" s="751" t="s">
        <v>297</v>
      </c>
      <c r="C33" s="733">
        <v>0</v>
      </c>
      <c r="D33" s="733">
        <v>0</v>
      </c>
      <c r="E33" s="733">
        <v>0</v>
      </c>
    </row>
    <row r="34" spans="1:5" s="65" customFormat="1" ht="24.75" customHeight="1" thickBot="1" thickTop="1">
      <c r="A34" s="200"/>
      <c r="B34" s="493" t="s">
        <v>298</v>
      </c>
      <c r="C34" s="494">
        <f>SUM(C22+C23+C24+C25+C26+C27+C28+C29+C30+C31)</f>
        <v>5864600000</v>
      </c>
      <c r="D34" s="494">
        <f>SUM(D22+D23+D24+D25+D26+D27+D28+D29+D30+D31)</f>
        <v>5840500000</v>
      </c>
      <c r="E34" s="495">
        <f>SUM(E22+E23+E24+E25+E26+E27+E28+E29+E30+E31)</f>
        <v>6076839999.75</v>
      </c>
    </row>
    <row r="35" spans="4:5" ht="13.5" thickTop="1">
      <c r="D35" s="67"/>
      <c r="E35" s="67"/>
    </row>
    <row r="36" spans="3:4" ht="12.75">
      <c r="C36" s="67"/>
      <c r="D36" s="67"/>
    </row>
    <row r="37" spans="4:5" ht="12.75">
      <c r="D37" s="67"/>
      <c r="E37" s="67"/>
    </row>
    <row r="38" ht="12.75">
      <c r="E38" s="67"/>
    </row>
    <row r="40" ht="12.75">
      <c r="C40" s="67"/>
    </row>
  </sheetData>
  <sheetProtection/>
  <mergeCells count="3">
    <mergeCell ref="A4:E4"/>
    <mergeCell ref="A6:C6"/>
    <mergeCell ref="A5:E5"/>
  </mergeCells>
  <printOptions horizontalCentered="1" verticalCentered="1"/>
  <pageMargins left="0.15748031496062992" right="0.15748031496062992" top="0.5118110236220472" bottom="0.5511811023622047" header="0.11811023622047245" footer="0.31496062992125984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6">
      <selection activeCell="E11" sqref="E11"/>
    </sheetView>
  </sheetViews>
  <sheetFormatPr defaultColWidth="9.00390625" defaultRowHeight="12.75"/>
  <cols>
    <col min="1" max="1" width="27.75390625" style="0" customWidth="1"/>
    <col min="2" max="2" width="32.625" style="0" customWidth="1"/>
    <col min="3" max="3" width="23.375" style="0" customWidth="1"/>
    <col min="4" max="4" width="23.25390625" style="0" bestFit="1" customWidth="1"/>
    <col min="5" max="5" width="21.875" style="0" bestFit="1" customWidth="1"/>
    <col min="6" max="6" width="15.125" style="0" bestFit="1" customWidth="1"/>
    <col min="7" max="7" width="14.375" style="0" bestFit="1" customWidth="1"/>
    <col min="8" max="8" width="12.625" style="0" bestFit="1" customWidth="1"/>
    <col min="9" max="9" width="17.25390625" style="0" bestFit="1" customWidth="1"/>
    <col min="10" max="10" width="15.625" style="0" bestFit="1" customWidth="1"/>
  </cols>
  <sheetData>
    <row r="1" spans="1:10" s="81" customFormat="1" ht="12.75">
      <c r="A1" s="81" t="s">
        <v>502</v>
      </c>
      <c r="J1" s="499" t="s">
        <v>608</v>
      </c>
    </row>
    <row r="2" spans="1:10" ht="18.75">
      <c r="A2" s="866" t="s">
        <v>680</v>
      </c>
      <c r="B2" s="866"/>
      <c r="C2" s="866"/>
      <c r="D2" s="866"/>
      <c r="E2" s="866"/>
      <c r="F2" s="866"/>
      <c r="G2" s="866"/>
      <c r="H2" s="866"/>
      <c r="I2" s="866"/>
      <c r="J2" s="866"/>
    </row>
    <row r="3" ht="13.5" thickBot="1"/>
    <row r="4" spans="1:10" ht="48.75" thickBot="1" thickTop="1">
      <c r="A4" s="500" t="s">
        <v>409</v>
      </c>
      <c r="B4" s="501" t="s">
        <v>410</v>
      </c>
      <c r="C4" s="501" t="s">
        <v>411</v>
      </c>
      <c r="D4" s="501" t="s">
        <v>412</v>
      </c>
      <c r="E4" s="501" t="s">
        <v>413</v>
      </c>
      <c r="F4" s="501" t="s">
        <v>438</v>
      </c>
      <c r="G4" s="501" t="s">
        <v>414</v>
      </c>
      <c r="H4" s="501" t="s">
        <v>415</v>
      </c>
      <c r="I4" s="501" t="s">
        <v>416</v>
      </c>
      <c r="J4" s="502" t="s">
        <v>417</v>
      </c>
    </row>
    <row r="5" spans="1:10" s="567" customFormat="1" ht="42.75" customHeight="1" thickTop="1">
      <c r="A5" s="735" t="s">
        <v>418</v>
      </c>
      <c r="B5" s="736" t="s">
        <v>419</v>
      </c>
      <c r="C5" s="736"/>
      <c r="D5" s="737">
        <v>116796301</v>
      </c>
      <c r="E5" s="737">
        <v>99276855</v>
      </c>
      <c r="F5" s="737">
        <v>17519446</v>
      </c>
      <c r="G5" s="738">
        <v>43293</v>
      </c>
      <c r="H5" s="738">
        <v>44104</v>
      </c>
      <c r="I5" s="739">
        <v>44134</v>
      </c>
      <c r="J5" s="740">
        <v>44227</v>
      </c>
    </row>
    <row r="6" spans="1:10" s="567" customFormat="1" ht="45">
      <c r="A6" s="741" t="s">
        <v>421</v>
      </c>
      <c r="B6" s="569" t="s">
        <v>681</v>
      </c>
      <c r="C6" s="569"/>
      <c r="D6" s="570">
        <v>235294118</v>
      </c>
      <c r="E6" s="570">
        <v>200000000</v>
      </c>
      <c r="F6" s="570">
        <v>35294118</v>
      </c>
      <c r="G6" s="571">
        <v>43553</v>
      </c>
      <c r="H6" s="571">
        <v>44227</v>
      </c>
      <c r="I6" s="566">
        <v>44257</v>
      </c>
      <c r="J6" s="742" t="s">
        <v>420</v>
      </c>
    </row>
    <row r="7" spans="1:10" s="567" customFormat="1" ht="30" customHeight="1">
      <c r="A7" s="741" t="s">
        <v>422</v>
      </c>
      <c r="B7" s="569" t="s">
        <v>423</v>
      </c>
      <c r="C7" s="569"/>
      <c r="D7" s="570">
        <v>185371970</v>
      </c>
      <c r="E7" s="570">
        <v>148297576</v>
      </c>
      <c r="F7" s="570">
        <v>37074394</v>
      </c>
      <c r="G7" s="571">
        <v>43814</v>
      </c>
      <c r="H7" s="571">
        <v>44058</v>
      </c>
      <c r="I7" s="566">
        <v>44088</v>
      </c>
      <c r="J7" s="743" t="s">
        <v>682</v>
      </c>
    </row>
    <row r="8" spans="1:10" s="567" customFormat="1" ht="75">
      <c r="A8" s="741" t="s">
        <v>424</v>
      </c>
      <c r="B8" s="569" t="s">
        <v>437</v>
      </c>
      <c r="C8" s="569"/>
      <c r="D8" s="565">
        <v>352941176</v>
      </c>
      <c r="E8" s="565">
        <v>300000000</v>
      </c>
      <c r="F8" s="565">
        <v>52941176</v>
      </c>
      <c r="G8" s="566">
        <v>43951</v>
      </c>
      <c r="H8" s="566">
        <v>44499</v>
      </c>
      <c r="I8" s="566">
        <v>44529</v>
      </c>
      <c r="J8" s="742" t="s">
        <v>420</v>
      </c>
    </row>
    <row r="9" spans="1:10" s="567" customFormat="1" ht="75">
      <c r="A9" s="741" t="s">
        <v>434</v>
      </c>
      <c r="B9" s="569" t="s">
        <v>435</v>
      </c>
      <c r="C9" s="569" t="s">
        <v>436</v>
      </c>
      <c r="D9" s="565">
        <v>66350000</v>
      </c>
      <c r="E9" s="565">
        <v>66350000</v>
      </c>
      <c r="F9" s="565">
        <v>0</v>
      </c>
      <c r="G9" s="566">
        <v>43892</v>
      </c>
      <c r="H9" s="566">
        <v>44165</v>
      </c>
      <c r="I9" s="566">
        <v>44195</v>
      </c>
      <c r="J9" s="744" t="s">
        <v>420</v>
      </c>
    </row>
    <row r="10" spans="1:10" s="567" customFormat="1" ht="78" customHeight="1">
      <c r="A10" s="741"/>
      <c r="B10" s="569" t="s">
        <v>431</v>
      </c>
      <c r="C10" s="569" t="s">
        <v>685</v>
      </c>
      <c r="D10" s="565">
        <v>803814946</v>
      </c>
      <c r="E10" s="565">
        <v>723433451</v>
      </c>
      <c r="F10" s="565">
        <v>80381495</v>
      </c>
      <c r="G10" s="566">
        <v>43364</v>
      </c>
      <c r="H10" s="566">
        <v>44926</v>
      </c>
      <c r="I10" s="566">
        <v>44985</v>
      </c>
      <c r="J10" s="742" t="s">
        <v>420</v>
      </c>
    </row>
    <row r="11" spans="1:10" s="567" customFormat="1" ht="30">
      <c r="A11" s="741"/>
      <c r="B11" s="569" t="s">
        <v>432</v>
      </c>
      <c r="C11" s="569" t="s">
        <v>433</v>
      </c>
      <c r="D11" s="565">
        <v>1110000000</v>
      </c>
      <c r="E11" s="565">
        <v>999000000</v>
      </c>
      <c r="F11" s="565">
        <v>111000000</v>
      </c>
      <c r="G11" s="566">
        <v>43364</v>
      </c>
      <c r="H11" s="566">
        <v>44196</v>
      </c>
      <c r="I11" s="566">
        <v>43889</v>
      </c>
      <c r="J11" s="742"/>
    </row>
    <row r="12" spans="1:10" s="567" customFormat="1" ht="60">
      <c r="A12" s="741"/>
      <c r="B12" s="569" t="s">
        <v>610</v>
      </c>
      <c r="C12" s="569" t="s">
        <v>609</v>
      </c>
      <c r="D12" s="565">
        <v>430000000</v>
      </c>
      <c r="E12" s="565">
        <v>430000000</v>
      </c>
      <c r="F12" s="565">
        <v>0</v>
      </c>
      <c r="G12" s="566">
        <v>43800</v>
      </c>
      <c r="H12" s="566">
        <v>44286</v>
      </c>
      <c r="I12" s="566">
        <v>44316</v>
      </c>
      <c r="J12" s="744" t="s">
        <v>420</v>
      </c>
    </row>
    <row r="13" spans="1:10" s="568" customFormat="1" ht="45" customHeight="1">
      <c r="A13" s="741" t="s">
        <v>18</v>
      </c>
      <c r="B13" s="569" t="s">
        <v>686</v>
      </c>
      <c r="C13" s="569" t="s">
        <v>687</v>
      </c>
      <c r="D13" s="565">
        <v>1361503634</v>
      </c>
      <c r="E13" s="565">
        <v>1361503634</v>
      </c>
      <c r="F13" s="565">
        <v>0</v>
      </c>
      <c r="G13" s="566">
        <v>43871</v>
      </c>
      <c r="H13" s="566">
        <v>44408</v>
      </c>
      <c r="I13" s="566">
        <v>44439</v>
      </c>
      <c r="J13" s="744" t="s">
        <v>420</v>
      </c>
    </row>
    <row r="14" spans="1:10" s="567" customFormat="1" ht="30">
      <c r="A14" s="741" t="s">
        <v>425</v>
      </c>
      <c r="B14" s="569" t="s">
        <v>426</v>
      </c>
      <c r="C14" s="569"/>
      <c r="D14" s="565">
        <v>4030000</v>
      </c>
      <c r="E14" s="565">
        <v>2821000</v>
      </c>
      <c r="F14" s="565">
        <v>1209000</v>
      </c>
      <c r="G14" s="566">
        <v>43741</v>
      </c>
      <c r="H14" s="566">
        <v>44376</v>
      </c>
      <c r="I14" s="566">
        <v>44407</v>
      </c>
      <c r="J14" s="744" t="s">
        <v>420</v>
      </c>
    </row>
    <row r="15" spans="1:10" s="567" customFormat="1" ht="45">
      <c r="A15" s="741"/>
      <c r="B15" s="569" t="s">
        <v>427</v>
      </c>
      <c r="C15" s="569" t="s">
        <v>428</v>
      </c>
      <c r="D15" s="565">
        <v>1841000</v>
      </c>
      <c r="E15" s="565">
        <v>1500000</v>
      </c>
      <c r="F15" s="565">
        <v>341000</v>
      </c>
      <c r="G15" s="566">
        <v>43780</v>
      </c>
      <c r="H15" s="566">
        <v>44376</v>
      </c>
      <c r="I15" s="566">
        <v>44406</v>
      </c>
      <c r="J15" s="744" t="s">
        <v>420</v>
      </c>
    </row>
    <row r="16" spans="1:10" s="567" customFormat="1" ht="56.25" customHeight="1">
      <c r="A16" s="741" t="s">
        <v>683</v>
      </c>
      <c r="B16" s="569" t="s">
        <v>684</v>
      </c>
      <c r="C16" s="569"/>
      <c r="D16" s="565">
        <v>46153846</v>
      </c>
      <c r="E16" s="565">
        <v>30000000</v>
      </c>
      <c r="F16" s="565">
        <v>16153846</v>
      </c>
      <c r="G16" s="566">
        <v>43565</v>
      </c>
      <c r="H16" s="566">
        <v>44196</v>
      </c>
      <c r="I16" s="566">
        <v>44227</v>
      </c>
      <c r="J16" s="742" t="s">
        <v>420</v>
      </c>
    </row>
    <row r="17" spans="1:10" s="567" customFormat="1" ht="45">
      <c r="A17" s="741" t="s">
        <v>429</v>
      </c>
      <c r="B17" s="569" t="s">
        <v>429</v>
      </c>
      <c r="C17" s="569" t="s">
        <v>430</v>
      </c>
      <c r="D17" s="565">
        <v>3112000</v>
      </c>
      <c r="E17" s="565">
        <v>1112000</v>
      </c>
      <c r="F17" s="565">
        <v>2000000</v>
      </c>
      <c r="G17" s="566">
        <v>43691</v>
      </c>
      <c r="H17" s="566">
        <v>44376</v>
      </c>
      <c r="I17" s="566">
        <v>44407</v>
      </c>
      <c r="J17" s="742" t="s">
        <v>420</v>
      </c>
    </row>
    <row r="18" spans="1:10" s="567" customFormat="1" ht="30" customHeight="1">
      <c r="A18" s="741"/>
      <c r="B18" s="569" t="s">
        <v>688</v>
      </c>
      <c r="C18" s="569"/>
      <c r="D18" s="565">
        <v>15000</v>
      </c>
      <c r="E18" s="565">
        <v>15000</v>
      </c>
      <c r="F18" s="565">
        <v>0</v>
      </c>
      <c r="G18" s="566">
        <v>43811</v>
      </c>
      <c r="H18" s="566">
        <v>44298</v>
      </c>
      <c r="I18" s="566">
        <v>44298</v>
      </c>
      <c r="J18" s="742" t="s">
        <v>420</v>
      </c>
    </row>
    <row r="19" spans="1:10" s="567" customFormat="1" ht="45">
      <c r="A19" s="741" t="s">
        <v>689</v>
      </c>
      <c r="B19" s="569" t="s">
        <v>689</v>
      </c>
      <c r="C19" s="569" t="s">
        <v>690</v>
      </c>
      <c r="D19" s="565"/>
      <c r="E19" s="565">
        <v>2000000</v>
      </c>
      <c r="F19" s="565"/>
      <c r="G19" s="566">
        <v>43831</v>
      </c>
      <c r="H19" s="566">
        <v>44196</v>
      </c>
      <c r="I19" s="566">
        <v>44226</v>
      </c>
      <c r="J19" s="742"/>
    </row>
    <row r="20" spans="1:10" s="567" customFormat="1" ht="29.25" customHeight="1">
      <c r="A20" s="741" t="s">
        <v>691</v>
      </c>
      <c r="B20" s="569" t="s">
        <v>692</v>
      </c>
      <c r="C20" s="569"/>
      <c r="D20" s="565">
        <v>30375524</v>
      </c>
      <c r="E20" s="565">
        <v>1000000</v>
      </c>
      <c r="F20" s="565">
        <v>29375524</v>
      </c>
      <c r="G20" s="566">
        <v>44319</v>
      </c>
      <c r="H20" s="566">
        <v>44444</v>
      </c>
      <c r="I20" s="566">
        <v>44504</v>
      </c>
      <c r="J20" s="742"/>
    </row>
    <row r="21" spans="1:10" s="567" customFormat="1" ht="45">
      <c r="A21" s="741" t="s">
        <v>693</v>
      </c>
      <c r="B21" s="569" t="s">
        <v>694</v>
      </c>
      <c r="C21" s="569"/>
      <c r="D21" s="565">
        <v>88201252</v>
      </c>
      <c r="E21" s="565">
        <v>40000000</v>
      </c>
      <c r="F21" s="565">
        <v>48201252</v>
      </c>
      <c r="G21" s="566">
        <v>43986</v>
      </c>
      <c r="H21" s="566">
        <v>44561</v>
      </c>
      <c r="I21" s="566">
        <v>44620</v>
      </c>
      <c r="J21" s="742"/>
    </row>
    <row r="22" spans="1:10" s="567" customFormat="1" ht="30">
      <c r="A22" s="741" t="s">
        <v>695</v>
      </c>
      <c r="B22" s="569" t="s">
        <v>696</v>
      </c>
      <c r="C22" s="569"/>
      <c r="D22" s="565">
        <v>3000000</v>
      </c>
      <c r="E22" s="565">
        <v>3000000</v>
      </c>
      <c r="F22" s="565">
        <v>0</v>
      </c>
      <c r="G22" s="566" t="s">
        <v>697</v>
      </c>
      <c r="H22" s="566">
        <v>44561</v>
      </c>
      <c r="I22" s="566">
        <v>44592</v>
      </c>
      <c r="J22" s="742"/>
    </row>
    <row r="23" spans="1:10" s="567" customFormat="1" ht="45">
      <c r="A23" s="741" t="s">
        <v>698</v>
      </c>
      <c r="B23" s="569" t="s">
        <v>699</v>
      </c>
      <c r="C23" s="569"/>
      <c r="D23" s="565">
        <v>4299000</v>
      </c>
      <c r="E23" s="565">
        <v>1299000</v>
      </c>
      <c r="F23" s="565">
        <v>3000000</v>
      </c>
      <c r="G23" s="566" t="s">
        <v>697</v>
      </c>
      <c r="H23" s="566">
        <v>44561</v>
      </c>
      <c r="I23" s="566">
        <v>44592</v>
      </c>
      <c r="J23" s="742"/>
    </row>
    <row r="24" spans="1:10" s="567" customFormat="1" ht="30.75" thickBot="1">
      <c r="A24" s="745" t="s">
        <v>700</v>
      </c>
      <c r="B24" s="746" t="s">
        <v>700</v>
      </c>
      <c r="C24" s="746"/>
      <c r="D24" s="747">
        <v>28233639</v>
      </c>
      <c r="E24" s="747">
        <v>28233639</v>
      </c>
      <c r="F24" s="747">
        <v>0</v>
      </c>
      <c r="G24" s="748"/>
      <c r="H24" s="748"/>
      <c r="I24" s="748"/>
      <c r="J24" s="749"/>
    </row>
    <row r="25" ht="13.5" thickTop="1"/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130" zoomScaleNormal="130" workbookViewId="0" topLeftCell="A1">
      <selection activeCell="F11" sqref="F11"/>
    </sheetView>
  </sheetViews>
  <sheetFormatPr defaultColWidth="9.00390625" defaultRowHeight="12.75"/>
  <cols>
    <col min="1" max="1" width="8.00390625" style="1" customWidth="1"/>
    <col min="2" max="2" width="12.25390625" style="1" customWidth="1"/>
    <col min="3" max="3" width="66.875" style="1" customWidth="1"/>
    <col min="4" max="4" width="19.375" style="65" customWidth="1"/>
    <col min="5" max="5" width="13.625" style="1" bestFit="1" customWidth="1"/>
    <col min="6" max="6" width="20.25390625" style="1" bestFit="1" customWidth="1"/>
    <col min="7" max="7" width="12.00390625" style="1" bestFit="1" customWidth="1"/>
    <col min="8" max="9" width="10.875" style="1" bestFit="1" customWidth="1"/>
    <col min="10" max="10" width="9.875" style="1" bestFit="1" customWidth="1"/>
    <col min="11" max="11" width="10.875" style="1" bestFit="1" customWidth="1"/>
    <col min="12" max="16384" width="9.125" style="1" customWidth="1"/>
  </cols>
  <sheetData>
    <row r="1" s="12" customFormat="1" ht="15.75">
      <c r="D1" s="10" t="s">
        <v>514</v>
      </c>
    </row>
    <row r="2" spans="1:4" s="12" customFormat="1" ht="15.75">
      <c r="A2" s="757" t="s">
        <v>502</v>
      </c>
      <c r="B2" s="757"/>
      <c r="C2" s="757"/>
      <c r="D2" s="757"/>
    </row>
    <row r="3" spans="1:4" s="12" customFormat="1" ht="15.75">
      <c r="A3" s="758" t="s">
        <v>741</v>
      </c>
      <c r="B3" s="758"/>
      <c r="C3" s="758"/>
      <c r="D3" s="758"/>
    </row>
    <row r="4" spans="1:4" s="12" customFormat="1" ht="15.75">
      <c r="A4" s="759" t="s">
        <v>91</v>
      </c>
      <c r="B4" s="759"/>
      <c r="C4" s="759"/>
      <c r="D4" s="759"/>
    </row>
    <row r="5" s="12" customFormat="1" ht="16.5" thickBot="1">
      <c r="D5" s="25"/>
    </row>
    <row r="6" spans="1:4" s="199" customFormat="1" ht="41.25" customHeight="1" thickBot="1" thickTop="1">
      <c r="A6" s="202" t="s">
        <v>41</v>
      </c>
      <c r="B6" s="214" t="s">
        <v>504</v>
      </c>
      <c r="C6" s="210" t="s">
        <v>503</v>
      </c>
      <c r="D6" s="211" t="s">
        <v>666</v>
      </c>
    </row>
    <row r="7" spans="1:6" s="12" customFormat="1" ht="24.75" customHeight="1" thickTop="1">
      <c r="A7" s="233" t="s">
        <v>505</v>
      </c>
      <c r="B7" s="233" t="s">
        <v>261</v>
      </c>
      <c r="C7" s="234" t="s">
        <v>791</v>
      </c>
      <c r="D7" s="235">
        <f>+'5.sz.kiadás_feladat '!D78</f>
        <v>1928620741</v>
      </c>
      <c r="F7" s="24"/>
    </row>
    <row r="8" spans="1:4" s="12" customFormat="1" ht="24.75" customHeight="1">
      <c r="A8" s="208" t="s">
        <v>506</v>
      </c>
      <c r="B8" s="208" t="s">
        <v>262</v>
      </c>
      <c r="C8" s="217" t="s">
        <v>515</v>
      </c>
      <c r="D8" s="213">
        <f>SUM('5.sz.kiadás_feladat '!E78)</f>
        <v>319656955</v>
      </c>
    </row>
    <row r="9" spans="1:4" s="12" customFormat="1" ht="24.75" customHeight="1">
      <c r="A9" s="208" t="s">
        <v>507</v>
      </c>
      <c r="B9" s="208" t="s">
        <v>264</v>
      </c>
      <c r="C9" s="217" t="s">
        <v>792</v>
      </c>
      <c r="D9" s="213">
        <f>SUM('5.sz.kiadás_feladat '!F78)</f>
        <v>2515090669</v>
      </c>
    </row>
    <row r="10" spans="1:4" s="12" customFormat="1" ht="24.75" customHeight="1">
      <c r="A10" s="208" t="s">
        <v>508</v>
      </c>
      <c r="B10" s="236" t="s">
        <v>265</v>
      </c>
      <c r="C10" s="217" t="s">
        <v>302</v>
      </c>
      <c r="D10" s="213">
        <f>SUM('5.sz.kiadás_feladat '!G78)</f>
        <v>11000000</v>
      </c>
    </row>
    <row r="11" spans="1:4" s="12" customFormat="1" ht="24.75" customHeight="1">
      <c r="A11" s="208" t="s">
        <v>509</v>
      </c>
      <c r="B11" s="208" t="s">
        <v>266</v>
      </c>
      <c r="C11" s="237" t="s">
        <v>267</v>
      </c>
      <c r="D11" s="213">
        <f>SUM(D12:D14)</f>
        <v>693666579</v>
      </c>
    </row>
    <row r="12" spans="1:4" s="12" customFormat="1" ht="24.75" customHeight="1">
      <c r="A12" s="203" t="s">
        <v>744</v>
      </c>
      <c r="B12" s="203" t="s">
        <v>742</v>
      </c>
      <c r="C12" s="216" t="s">
        <v>743</v>
      </c>
      <c r="D12" s="212">
        <v>526412895</v>
      </c>
    </row>
    <row r="13" spans="1:4" s="12" customFormat="1" ht="24.75" customHeight="1">
      <c r="A13" s="203" t="s">
        <v>519</v>
      </c>
      <c r="B13" s="203" t="s">
        <v>268</v>
      </c>
      <c r="C13" s="216" t="s">
        <v>8</v>
      </c>
      <c r="D13" s="212">
        <f>SUM('5.sz.kiadás_feladat '!I78)</f>
        <v>36938684</v>
      </c>
    </row>
    <row r="14" spans="1:4" s="12" customFormat="1" ht="24.75" customHeight="1">
      <c r="A14" s="203" t="s">
        <v>520</v>
      </c>
      <c r="B14" s="218" t="s">
        <v>269</v>
      </c>
      <c r="C14" s="216" t="s">
        <v>270</v>
      </c>
      <c r="D14" s="212">
        <f>SUM('5.sz.kiadás_feladat '!J78)</f>
        <v>130315000</v>
      </c>
    </row>
    <row r="15" spans="1:6" s="12" customFormat="1" ht="24.75" customHeight="1">
      <c r="A15" s="203" t="s">
        <v>745</v>
      </c>
      <c r="B15" s="203" t="s">
        <v>271</v>
      </c>
      <c r="C15" s="216" t="s">
        <v>516</v>
      </c>
      <c r="D15" s="212">
        <f>'10.sz.céltartalék'!C7+'10.sz.céltartalék'!C19</f>
        <v>23000000</v>
      </c>
      <c r="E15" s="24"/>
      <c r="F15" s="24"/>
    </row>
    <row r="16" spans="1:6" s="207" customFormat="1" ht="24.75" customHeight="1">
      <c r="A16" s="208" t="s">
        <v>510</v>
      </c>
      <c r="B16" s="208" t="s">
        <v>273</v>
      </c>
      <c r="C16" s="237" t="s">
        <v>110</v>
      </c>
      <c r="D16" s="213">
        <f>SUM(D17:D22)</f>
        <v>2547596481</v>
      </c>
      <c r="E16" s="206"/>
      <c r="F16" s="206"/>
    </row>
    <row r="17" spans="1:4" s="12" customFormat="1" ht="24.75" customHeight="1">
      <c r="A17" s="209" t="s">
        <v>521</v>
      </c>
      <c r="B17" s="218" t="s">
        <v>274</v>
      </c>
      <c r="C17" s="215" t="s">
        <v>275</v>
      </c>
      <c r="D17" s="231">
        <v>0</v>
      </c>
    </row>
    <row r="18" spans="1:9" s="12" customFormat="1" ht="24.75" customHeight="1">
      <c r="A18" s="204" t="s">
        <v>522</v>
      </c>
      <c r="B18" s="218" t="s">
        <v>276</v>
      </c>
      <c r="C18" s="215" t="s">
        <v>277</v>
      </c>
      <c r="D18" s="212">
        <v>1985904015</v>
      </c>
      <c r="I18" s="24"/>
    </row>
    <row r="19" spans="1:6" s="12" customFormat="1" ht="24.75" customHeight="1">
      <c r="A19" s="204" t="s">
        <v>523</v>
      </c>
      <c r="B19" s="218" t="s">
        <v>278</v>
      </c>
      <c r="C19" s="215" t="s">
        <v>279</v>
      </c>
      <c r="D19" s="212">
        <v>9370839</v>
      </c>
      <c r="F19" s="24"/>
    </row>
    <row r="20" spans="1:12" s="12" customFormat="1" ht="24.75" customHeight="1">
      <c r="A20" s="205" t="s">
        <v>524</v>
      </c>
      <c r="B20" s="203" t="s">
        <v>280</v>
      </c>
      <c r="C20" s="215" t="s">
        <v>281</v>
      </c>
      <c r="D20" s="212">
        <f>17721615+49672087</f>
        <v>67393702</v>
      </c>
      <c r="F20" s="24"/>
      <c r="H20" s="24"/>
      <c r="I20" s="24"/>
      <c r="J20" s="24"/>
      <c r="K20" s="24"/>
      <c r="L20" s="24"/>
    </row>
    <row r="21" spans="1:12" s="12" customFormat="1" ht="24.75" customHeight="1">
      <c r="A21" s="209" t="s">
        <v>525</v>
      </c>
      <c r="B21" s="203" t="s">
        <v>738</v>
      </c>
      <c r="C21" s="215" t="s">
        <v>740</v>
      </c>
      <c r="D21" s="212">
        <v>16000000</v>
      </c>
      <c r="F21" s="24"/>
      <c r="H21" s="24"/>
      <c r="I21" s="24"/>
      <c r="J21" s="24"/>
      <c r="K21" s="24"/>
      <c r="L21" s="24"/>
    </row>
    <row r="22" spans="1:12" s="12" customFormat="1" ht="24.75" customHeight="1">
      <c r="A22" s="204" t="s">
        <v>739</v>
      </c>
      <c r="B22" s="203" t="s">
        <v>282</v>
      </c>
      <c r="C22" s="215" t="s">
        <v>283</v>
      </c>
      <c r="D22" s="212">
        <f>6078546+462849379</f>
        <v>468927925</v>
      </c>
      <c r="G22" s="24"/>
      <c r="H22" s="24"/>
      <c r="I22" s="24"/>
      <c r="J22" s="24"/>
      <c r="K22" s="24"/>
      <c r="L22" s="24"/>
    </row>
    <row r="23" spans="1:12" s="25" customFormat="1" ht="24.75" customHeight="1">
      <c r="A23" s="208" t="s">
        <v>511</v>
      </c>
      <c r="B23" s="208" t="s">
        <v>284</v>
      </c>
      <c r="C23" s="217" t="s">
        <v>111</v>
      </c>
      <c r="D23" s="213">
        <f>SUM(D24:D25)</f>
        <v>140776445</v>
      </c>
      <c r="H23" s="24"/>
      <c r="I23" s="24"/>
      <c r="J23" s="24"/>
      <c r="K23" s="24"/>
      <c r="L23" s="24"/>
    </row>
    <row r="24" spans="1:12" s="12" customFormat="1" ht="24.75" customHeight="1">
      <c r="A24" s="218" t="s">
        <v>526</v>
      </c>
      <c r="B24" s="218" t="s">
        <v>285</v>
      </c>
      <c r="C24" s="232" t="s">
        <v>286</v>
      </c>
      <c r="D24" s="212">
        <v>110847594</v>
      </c>
      <c r="F24" s="195"/>
      <c r="H24" s="24"/>
      <c r="I24" s="24"/>
      <c r="J24" s="24"/>
      <c r="K24" s="24"/>
      <c r="L24" s="24"/>
    </row>
    <row r="25" spans="1:4" s="12" customFormat="1" ht="24.75" customHeight="1">
      <c r="A25" s="218" t="s">
        <v>527</v>
      </c>
      <c r="B25" s="218" t="s">
        <v>287</v>
      </c>
      <c r="C25" s="232" t="s">
        <v>288</v>
      </c>
      <c r="D25" s="212">
        <v>29928851</v>
      </c>
    </row>
    <row r="26" spans="1:4" s="12" customFormat="1" ht="24.75" customHeight="1">
      <c r="A26" s="236">
        <v>8</v>
      </c>
      <c r="B26" s="236" t="s">
        <v>289</v>
      </c>
      <c r="C26" s="217" t="s">
        <v>290</v>
      </c>
      <c r="D26" s="213">
        <f>SUM(D27:D28)</f>
        <v>55888087</v>
      </c>
    </row>
    <row r="27" spans="1:4" s="219" customFormat="1" ht="24.75" customHeight="1">
      <c r="A27" s="203" t="s">
        <v>528</v>
      </c>
      <c r="B27" s="203" t="s">
        <v>291</v>
      </c>
      <c r="C27" s="215" t="s">
        <v>292</v>
      </c>
      <c r="D27" s="212">
        <f>SUM('5.sz.kiadás_feladat '!O78)</f>
        <v>80000</v>
      </c>
    </row>
    <row r="28" spans="1:4" s="219" customFormat="1" ht="24.75" customHeight="1">
      <c r="A28" s="203" t="s">
        <v>529</v>
      </c>
      <c r="B28" s="203" t="s">
        <v>293</v>
      </c>
      <c r="C28" s="215" t="s">
        <v>294</v>
      </c>
      <c r="D28" s="212">
        <f>SUM('5.sz.kiadás_feladat '!P78)</f>
        <v>55808087</v>
      </c>
    </row>
    <row r="29" spans="1:4" s="12" customFormat="1" ht="24.75" customHeight="1">
      <c r="A29" s="208" t="s">
        <v>513</v>
      </c>
      <c r="B29" s="208" t="s">
        <v>271</v>
      </c>
      <c r="C29" s="217" t="s">
        <v>224</v>
      </c>
      <c r="D29" s="213">
        <f>SUM('10.sz.céltartalék'!C9)</f>
        <v>76000000</v>
      </c>
    </row>
    <row r="30" spans="1:4" s="12" customFormat="1" ht="24.75" customHeight="1">
      <c r="A30" s="208"/>
      <c r="B30" s="208"/>
      <c r="C30" s="217" t="s">
        <v>530</v>
      </c>
      <c r="D30" s="213">
        <f>SUM(D7+D8+D9+D10+D11+D15+D16+D23+D26+D29)</f>
        <v>8311295957</v>
      </c>
    </row>
    <row r="31" spans="1:4" s="25" customFormat="1" ht="24.75" customHeight="1" thickBot="1">
      <c r="A31" s="220">
        <v>10</v>
      </c>
      <c r="B31" s="220" t="s">
        <v>296</v>
      </c>
      <c r="C31" s="221" t="s">
        <v>297</v>
      </c>
      <c r="D31" s="212">
        <f>'5.sz.kiadás_feladat '!R78</f>
        <v>94180509</v>
      </c>
    </row>
    <row r="32" spans="1:4" s="25" customFormat="1" ht="24.75" customHeight="1" thickBot="1" thickTop="1">
      <c r="A32" s="760" t="s">
        <v>298</v>
      </c>
      <c r="B32" s="761"/>
      <c r="C32" s="761"/>
      <c r="D32" s="243">
        <f>SUM(D7+D8+D9+D10+D11+D15+D16+D23+D26+D29+D31)</f>
        <v>8405476466</v>
      </c>
    </row>
    <row r="33" spans="1:4" s="12" customFormat="1" ht="16.5" thickTop="1">
      <c r="A33" s="4"/>
      <c r="B33" s="4"/>
      <c r="C33" s="196"/>
      <c r="D33" s="23"/>
    </row>
    <row r="34" spans="1:4" s="12" customFormat="1" ht="15.75">
      <c r="A34" s="197"/>
      <c r="B34" s="197"/>
      <c r="C34" s="196" t="s">
        <v>18</v>
      </c>
      <c r="D34" s="23"/>
    </row>
    <row r="35" spans="1:4" s="12" customFormat="1" ht="15.75">
      <c r="A35" s="197"/>
      <c r="B35" s="197"/>
      <c r="C35" s="196"/>
      <c r="D35" s="23"/>
    </row>
    <row r="36" spans="1:4" s="12" customFormat="1" ht="15.75">
      <c r="A36" s="4"/>
      <c r="B36" s="4"/>
      <c r="C36" s="196"/>
      <c r="D36" s="24"/>
    </row>
    <row r="37" spans="1:4" s="12" customFormat="1" ht="15.75">
      <c r="A37" s="196"/>
      <c r="B37" s="196"/>
      <c r="D37" s="198"/>
    </row>
    <row r="38" spans="1:4" s="12" customFormat="1" ht="15.75">
      <c r="A38" s="196"/>
      <c r="B38" s="196"/>
      <c r="D38" s="198"/>
    </row>
    <row r="39" spans="1:4" s="12" customFormat="1" ht="15.75">
      <c r="A39" s="196"/>
      <c r="B39" s="196"/>
      <c r="D39" s="25"/>
    </row>
    <row r="40" spans="1:4" s="12" customFormat="1" ht="15.75">
      <c r="A40" s="196"/>
      <c r="B40" s="196"/>
      <c r="D40" s="25"/>
    </row>
    <row r="41" spans="1:2" s="12" customFormat="1" ht="15.75">
      <c r="A41" s="196"/>
      <c r="B41" s="196"/>
    </row>
    <row r="42" spans="1:2" s="12" customFormat="1" ht="15.75">
      <c r="A42" s="196"/>
      <c r="B42" s="196"/>
    </row>
    <row r="43" spans="1:2" s="12" customFormat="1" ht="15.75">
      <c r="A43" s="196"/>
      <c r="B43" s="196"/>
    </row>
    <row r="44" spans="1:2" s="12" customFormat="1" ht="15.75">
      <c r="A44" s="196"/>
      <c r="B44" s="196"/>
    </row>
    <row r="45" spans="1:2" s="12" customFormat="1" ht="15.75">
      <c r="A45" s="196"/>
      <c r="B45" s="196"/>
    </row>
    <row r="46" spans="1:2" s="12" customFormat="1" ht="15.75">
      <c r="A46" s="196"/>
      <c r="B46" s="196"/>
    </row>
    <row r="47" spans="1:2" s="12" customFormat="1" ht="15.75">
      <c r="A47" s="196"/>
      <c r="B47" s="196"/>
    </row>
    <row r="48" spans="1:2" s="12" customFormat="1" ht="15.75">
      <c r="A48" s="196"/>
      <c r="B48" s="196"/>
    </row>
    <row r="49" spans="1:2" s="12" customFormat="1" ht="15.75">
      <c r="A49" s="196"/>
      <c r="B49" s="196"/>
    </row>
    <row r="50" spans="1:2" s="12" customFormat="1" ht="15.75">
      <c r="A50" s="196"/>
      <c r="B50" s="196"/>
    </row>
    <row r="51" spans="1:2" s="12" customFormat="1" ht="15.75">
      <c r="A51" s="196"/>
      <c r="B51" s="196"/>
    </row>
    <row r="52" spans="1:2" s="12" customFormat="1" ht="15.75">
      <c r="A52" s="196"/>
      <c r="B52" s="196"/>
    </row>
    <row r="53" spans="1:2" s="12" customFormat="1" ht="15.75">
      <c r="A53" s="196"/>
      <c r="B53" s="196"/>
    </row>
    <row r="54" spans="1:2" s="12" customFormat="1" ht="15.75">
      <c r="A54" s="196"/>
      <c r="B54" s="196"/>
    </row>
    <row r="55" spans="1:2" s="12" customFormat="1" ht="15.75">
      <c r="A55" s="196"/>
      <c r="B55" s="196"/>
    </row>
    <row r="56" spans="1:2" s="12" customFormat="1" ht="15.75">
      <c r="A56" s="196"/>
      <c r="B56" s="196"/>
    </row>
    <row r="57" spans="1:2" s="12" customFormat="1" ht="15.75">
      <c r="A57" s="196"/>
      <c r="B57" s="196"/>
    </row>
    <row r="58" spans="1:4" ht="12.75">
      <c r="A58" s="66"/>
      <c r="B58" s="66"/>
      <c r="D58" s="1"/>
    </row>
    <row r="59" spans="1:4" ht="12.75">
      <c r="A59" s="66"/>
      <c r="B59" s="66"/>
      <c r="D59" s="1"/>
    </row>
    <row r="60" spans="1:4" ht="12.75">
      <c r="A60" s="66"/>
      <c r="B60" s="66"/>
      <c r="D60" s="1"/>
    </row>
    <row r="61" spans="1:4" ht="12.75">
      <c r="A61" s="66"/>
      <c r="B61" s="66"/>
      <c r="D61" s="1"/>
    </row>
    <row r="62" spans="1:4" ht="12.75">
      <c r="A62" s="66"/>
      <c r="B62" s="66"/>
      <c r="D62" s="1"/>
    </row>
    <row r="63" spans="1:4" ht="12.75">
      <c r="A63" s="66"/>
      <c r="B63" s="66"/>
      <c r="D63" s="1"/>
    </row>
  </sheetData>
  <sheetProtection/>
  <mergeCells count="4">
    <mergeCell ref="A2:D2"/>
    <mergeCell ref="A3:D3"/>
    <mergeCell ref="A4:D4"/>
    <mergeCell ref="A32:C32"/>
  </mergeCells>
  <printOptions horizontalCentered="1" verticalCentered="1"/>
  <pageMargins left="0.15748031496062992" right="0.15748031496062992" top="0.5118110236220472" bottom="0.5511811023622047" header="0.11811023622047245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="80" zoomScaleNormal="80" zoomScalePageLayoutView="0" workbookViewId="0" topLeftCell="A1">
      <selection activeCell="E9" sqref="E9"/>
    </sheetView>
  </sheetViews>
  <sheetFormatPr defaultColWidth="9.00390625" defaultRowHeight="12.75"/>
  <cols>
    <col min="1" max="1" width="8.375" style="244" customWidth="1"/>
    <col min="2" max="2" width="13.25390625" style="615" customWidth="1"/>
    <col min="3" max="3" width="75.875" style="52" customWidth="1"/>
    <col min="4" max="4" width="19.25390625" style="617" customWidth="1"/>
    <col min="5" max="6" width="16.25390625" style="52" customWidth="1"/>
    <col min="7" max="7" width="18.75390625" style="52" bestFit="1" customWidth="1"/>
    <col min="8" max="8" width="12.00390625" style="52" bestFit="1" customWidth="1"/>
    <col min="9" max="9" width="14.875" style="52" bestFit="1" customWidth="1"/>
    <col min="10" max="11" width="9.125" style="52" customWidth="1"/>
    <col min="12" max="12" width="13.625" style="52" bestFit="1" customWidth="1"/>
    <col min="13" max="16384" width="9.125" style="52" customWidth="1"/>
  </cols>
  <sheetData>
    <row r="1" spans="1:4" ht="15.75">
      <c r="A1" s="582"/>
      <c r="B1" s="583"/>
      <c r="D1" s="584" t="s">
        <v>92</v>
      </c>
    </row>
    <row r="2" spans="1:7" ht="15.75">
      <c r="A2" s="762" t="s">
        <v>502</v>
      </c>
      <c r="B2" s="762"/>
      <c r="C2" s="762"/>
      <c r="D2" s="762"/>
      <c r="F2" s="60"/>
      <c r="G2" s="60"/>
    </row>
    <row r="3" spans="1:7" ht="15.75">
      <c r="A3" s="763" t="s">
        <v>665</v>
      </c>
      <c r="B3" s="763"/>
      <c r="C3" s="763"/>
      <c r="D3" s="763"/>
      <c r="F3" s="60"/>
      <c r="G3" s="60"/>
    </row>
    <row r="4" spans="1:7" ht="15.75">
      <c r="A4" s="764" t="s">
        <v>91</v>
      </c>
      <c r="B4" s="764"/>
      <c r="C4" s="764"/>
      <c r="D4" s="764"/>
      <c r="F4" s="60"/>
      <c r="G4" s="60"/>
    </row>
    <row r="5" spans="1:7" ht="16.5" thickBot="1">
      <c r="A5" s="585"/>
      <c r="B5" s="585"/>
      <c r="C5" s="585"/>
      <c r="D5" s="585"/>
      <c r="F5" s="60"/>
      <c r="G5" s="60"/>
    </row>
    <row r="6" spans="1:5" ht="49.5" customHeight="1" thickBot="1" thickTop="1">
      <c r="A6" s="586" t="s">
        <v>41</v>
      </c>
      <c r="B6" s="480" t="s">
        <v>504</v>
      </c>
      <c r="C6" s="587" t="s">
        <v>341</v>
      </c>
      <c r="D6" s="201" t="s">
        <v>666</v>
      </c>
      <c r="E6" s="60"/>
    </row>
    <row r="7" spans="1:6" s="240" customFormat="1" ht="24.75" customHeight="1" thickTop="1">
      <c r="A7" s="588" t="s">
        <v>505</v>
      </c>
      <c r="B7" s="589" t="s">
        <v>44</v>
      </c>
      <c r="C7" s="590" t="s">
        <v>3</v>
      </c>
      <c r="D7" s="591">
        <f>SUM(D8:D15)</f>
        <v>2354512720</v>
      </c>
      <c r="E7" s="239"/>
      <c r="F7" s="592"/>
    </row>
    <row r="8" spans="1:22" ht="24.75" customHeight="1">
      <c r="A8" s="593" t="s">
        <v>532</v>
      </c>
      <c r="B8" s="594" t="s">
        <v>46</v>
      </c>
      <c r="C8" s="595" t="s">
        <v>369</v>
      </c>
      <c r="D8" s="225">
        <f>SUM('4.sz.állami tám.'!C5)</f>
        <v>780539769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6" ht="24.75" customHeight="1">
      <c r="A9" s="593" t="s">
        <v>533</v>
      </c>
      <c r="B9" s="596" t="s">
        <v>48</v>
      </c>
      <c r="C9" s="597" t="s">
        <v>49</v>
      </c>
      <c r="D9" s="225">
        <f>SUM('4.sz.állami tám.'!C13)</f>
        <v>893337050</v>
      </c>
      <c r="E9" s="60"/>
      <c r="F9" s="598"/>
    </row>
    <row r="10" spans="1:5" ht="24.75" customHeight="1">
      <c r="A10" s="593" t="s">
        <v>534</v>
      </c>
      <c r="B10" s="596" t="s">
        <v>663</v>
      </c>
      <c r="C10" s="597" t="s">
        <v>661</v>
      </c>
      <c r="D10" s="225">
        <f>SUM('4.sz.állami tám.'!C18)</f>
        <v>289642000</v>
      </c>
      <c r="E10" s="60"/>
    </row>
    <row r="11" spans="1:5" ht="24.75" customHeight="1">
      <c r="A11" s="593" t="s">
        <v>535</v>
      </c>
      <c r="B11" s="596" t="s">
        <v>664</v>
      </c>
      <c r="C11" s="597" t="s">
        <v>667</v>
      </c>
      <c r="D11" s="225">
        <f>+'4.sz.állami tám.'!C25</f>
        <v>248160431</v>
      </c>
      <c r="E11" s="60"/>
    </row>
    <row r="12" spans="1:5" ht="24.75" customHeight="1">
      <c r="A12" s="593" t="s">
        <v>536</v>
      </c>
      <c r="B12" s="596" t="s">
        <v>52</v>
      </c>
      <c r="C12" s="597" t="s">
        <v>370</v>
      </c>
      <c r="D12" s="225">
        <f>SUM('4.sz.állami tám.'!C29)</f>
        <v>94970050</v>
      </c>
      <c r="E12" s="60"/>
    </row>
    <row r="13" spans="1:5" ht="24.75" customHeight="1">
      <c r="A13" s="593" t="s">
        <v>537</v>
      </c>
      <c r="B13" s="596" t="s">
        <v>380</v>
      </c>
      <c r="C13" s="597" t="s">
        <v>381</v>
      </c>
      <c r="D13" s="225">
        <f>+'4.sz.állami tám.'!C34</f>
        <v>47863420</v>
      </c>
      <c r="E13" s="60"/>
    </row>
    <row r="14" spans="1:5" ht="24.75" customHeight="1">
      <c r="A14" s="593" t="s">
        <v>538</v>
      </c>
      <c r="B14" s="596" t="s">
        <v>382</v>
      </c>
      <c r="C14" s="597" t="s">
        <v>383</v>
      </c>
      <c r="D14" s="226">
        <v>0</v>
      </c>
      <c r="E14" s="60"/>
    </row>
    <row r="15" spans="1:22" ht="24.75" customHeight="1">
      <c r="A15" s="593" t="s">
        <v>662</v>
      </c>
      <c r="B15" s="596" t="s">
        <v>55</v>
      </c>
      <c r="C15" s="597" t="s">
        <v>56</v>
      </c>
      <c r="D15" s="599">
        <v>0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5" s="20" customFormat="1" ht="24.75" customHeight="1">
      <c r="A16" s="600" t="s">
        <v>506</v>
      </c>
      <c r="B16" s="601" t="s">
        <v>57</v>
      </c>
      <c r="C16" s="602" t="s">
        <v>58</v>
      </c>
      <c r="D16" s="227">
        <f>SUM(D17:D18)</f>
        <v>150000000</v>
      </c>
      <c r="E16" s="603"/>
    </row>
    <row r="17" spans="1:5" ht="24.75" customHeight="1">
      <c r="A17" s="593" t="s">
        <v>539</v>
      </c>
      <c r="B17" s="596" t="s">
        <v>59</v>
      </c>
      <c r="C17" s="597" t="s">
        <v>371</v>
      </c>
      <c r="D17" s="225"/>
      <c r="E17" s="60"/>
    </row>
    <row r="18" spans="1:5" ht="24.75" customHeight="1">
      <c r="A18" s="593" t="s">
        <v>540</v>
      </c>
      <c r="B18" s="596" t="s">
        <v>60</v>
      </c>
      <c r="C18" s="597" t="s">
        <v>61</v>
      </c>
      <c r="D18" s="225">
        <f>SUM('6.sz.bevétel feladat'!S24)</f>
        <v>150000000</v>
      </c>
      <c r="E18" s="60"/>
    </row>
    <row r="19" spans="1:6" s="20" customFormat="1" ht="24.75" customHeight="1">
      <c r="A19" s="600" t="s">
        <v>507</v>
      </c>
      <c r="B19" s="604" t="s">
        <v>62</v>
      </c>
      <c r="C19" s="602" t="s">
        <v>5</v>
      </c>
      <c r="D19" s="227">
        <f>SUM(D20+D23+D25)</f>
        <v>2525000000</v>
      </c>
      <c r="E19" s="603"/>
      <c r="F19" s="605"/>
    </row>
    <row r="20" spans="1:22" ht="24.75" customHeight="1">
      <c r="A20" s="593" t="s">
        <v>541</v>
      </c>
      <c r="B20" s="596" t="s">
        <v>63</v>
      </c>
      <c r="C20" s="606" t="s">
        <v>9</v>
      </c>
      <c r="D20" s="607">
        <f>SUM(D21:D22)</f>
        <v>800000000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5" ht="24.75" customHeight="1">
      <c r="A21" s="593"/>
      <c r="B21" s="596"/>
      <c r="C21" s="597" t="s">
        <v>64</v>
      </c>
      <c r="D21" s="225">
        <v>650000000</v>
      </c>
      <c r="E21" s="60"/>
    </row>
    <row r="22" spans="1:5" ht="24.75" customHeight="1">
      <c r="A22" s="593"/>
      <c r="B22" s="596"/>
      <c r="C22" s="597" t="s">
        <v>65</v>
      </c>
      <c r="D22" s="225">
        <v>150000000</v>
      </c>
      <c r="E22" s="60"/>
    </row>
    <row r="23" spans="1:5" ht="24.75" customHeight="1">
      <c r="A23" s="593" t="s">
        <v>542</v>
      </c>
      <c r="B23" s="596" t="s">
        <v>372</v>
      </c>
      <c r="C23" s="606" t="s">
        <v>10</v>
      </c>
      <c r="D23" s="227">
        <f>SUM(D24:D24)</f>
        <v>1700000000</v>
      </c>
      <c r="E23" s="60"/>
    </row>
    <row r="24" spans="1:5" ht="24.75" customHeight="1">
      <c r="A24" s="593"/>
      <c r="B24" s="596"/>
      <c r="C24" s="597" t="s">
        <v>517</v>
      </c>
      <c r="D24" s="225">
        <f>SUM('6.sz.bevétel feladat'!G24)</f>
        <v>1700000000</v>
      </c>
      <c r="E24" s="60"/>
    </row>
    <row r="25" spans="1:5" s="20" customFormat="1" ht="24.75" customHeight="1">
      <c r="A25" s="593" t="s">
        <v>543</v>
      </c>
      <c r="B25" s="594" t="s">
        <v>66</v>
      </c>
      <c r="C25" s="595" t="s">
        <v>11</v>
      </c>
      <c r="D25" s="229">
        <v>25000000</v>
      </c>
      <c r="E25" s="230"/>
    </row>
    <row r="26" spans="1:6" s="20" customFormat="1" ht="24.75" customHeight="1">
      <c r="A26" s="593" t="s">
        <v>508</v>
      </c>
      <c r="B26" s="604" t="s">
        <v>67</v>
      </c>
      <c r="C26" s="238" t="s">
        <v>6</v>
      </c>
      <c r="D26" s="227">
        <f>SUM(D27:D36)</f>
        <v>403217632</v>
      </c>
      <c r="E26" s="603"/>
      <c r="F26" s="605"/>
    </row>
    <row r="27" spans="1:6" ht="24.75" customHeight="1">
      <c r="A27" s="593" t="s">
        <v>544</v>
      </c>
      <c r="B27" s="608" t="s">
        <v>384</v>
      </c>
      <c r="C27" s="595" t="s">
        <v>385</v>
      </c>
      <c r="D27" s="228"/>
      <c r="E27" s="60"/>
      <c r="F27" s="598"/>
    </row>
    <row r="28" spans="1:22" ht="24.75" customHeight="1">
      <c r="A28" s="593" t="s">
        <v>545</v>
      </c>
      <c r="B28" s="608" t="s">
        <v>68</v>
      </c>
      <c r="C28" s="595" t="s">
        <v>69</v>
      </c>
      <c r="D28" s="229">
        <f>SUM('6.sz.bevétel feladat'!I24)-D29-D30</f>
        <v>14944017</v>
      </c>
      <c r="E28" s="16"/>
      <c r="F28" s="15"/>
      <c r="G28" s="15"/>
      <c r="H28" s="15"/>
      <c r="I28" s="15"/>
      <c r="J28" s="15"/>
      <c r="K28" s="15"/>
      <c r="L28" s="130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24.75" customHeight="1">
      <c r="A29" s="593" t="s">
        <v>546</v>
      </c>
      <c r="B29" s="596" t="s">
        <v>68</v>
      </c>
      <c r="C29" s="595" t="s">
        <v>70</v>
      </c>
      <c r="D29" s="229">
        <v>6717005</v>
      </c>
      <c r="E29" s="16"/>
      <c r="F29" s="15"/>
      <c r="G29" s="15"/>
      <c r="H29" s="15"/>
      <c r="I29" s="15"/>
      <c r="J29" s="15"/>
      <c r="K29" s="15"/>
      <c r="L29" s="130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4.75" customHeight="1">
      <c r="A30" s="593" t="s">
        <v>547</v>
      </c>
      <c r="B30" s="596" t="s">
        <v>68</v>
      </c>
      <c r="C30" s="595" t="s">
        <v>71</v>
      </c>
      <c r="D30" s="229">
        <v>33351084</v>
      </c>
      <c r="E30" s="16"/>
      <c r="F30" s="15"/>
      <c r="G30" s="15"/>
      <c r="H30" s="15"/>
      <c r="I30" s="15"/>
      <c r="J30" s="15"/>
      <c r="K30" s="15"/>
      <c r="L30" s="130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24.75" customHeight="1">
      <c r="A31" s="593" t="s">
        <v>548</v>
      </c>
      <c r="B31" s="596" t="s">
        <v>72</v>
      </c>
      <c r="C31" s="595" t="s">
        <v>73</v>
      </c>
      <c r="D31" s="226">
        <f>SUM('6.sz.bevétel feladat'!J24)</f>
        <v>0</v>
      </c>
      <c r="E31" s="17"/>
      <c r="F31" s="15"/>
      <c r="G31" s="15"/>
      <c r="H31" s="15"/>
      <c r="I31" s="15"/>
      <c r="J31" s="15"/>
      <c r="K31" s="15"/>
      <c r="L31" s="130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24.75" customHeight="1">
      <c r="A32" s="593" t="s">
        <v>549</v>
      </c>
      <c r="B32" s="596" t="s">
        <v>373</v>
      </c>
      <c r="C32" s="595" t="s">
        <v>374</v>
      </c>
      <c r="D32" s="225">
        <f>SUM('6.sz.bevétel feladat'!K24)</f>
        <v>240516000</v>
      </c>
      <c r="E32" s="17"/>
      <c r="F32" s="15"/>
      <c r="G32" s="15"/>
      <c r="H32" s="15"/>
      <c r="I32" s="15"/>
      <c r="J32" s="15"/>
      <c r="K32" s="15"/>
      <c r="L32" s="130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24.75" customHeight="1">
      <c r="A33" s="593" t="s">
        <v>550</v>
      </c>
      <c r="B33" s="596" t="s">
        <v>74</v>
      </c>
      <c r="C33" s="595" t="s">
        <v>12</v>
      </c>
      <c r="D33" s="225">
        <f>SUM('6.sz.bevétel feladat'!L24)</f>
        <v>68895776</v>
      </c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24.75" customHeight="1">
      <c r="A34" s="593" t="s">
        <v>551</v>
      </c>
      <c r="B34" s="596" t="s">
        <v>375</v>
      </c>
      <c r="C34" s="595" t="s">
        <v>376</v>
      </c>
      <c r="D34" s="225">
        <f>SUM('6.sz.bevétel feladat'!M24)</f>
        <v>22538000</v>
      </c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24.75" customHeight="1">
      <c r="A35" s="593" t="s">
        <v>552</v>
      </c>
      <c r="B35" s="596" t="s">
        <v>75</v>
      </c>
      <c r="C35" s="595" t="s">
        <v>76</v>
      </c>
      <c r="D35" s="229">
        <f>SUM('6.sz.bevétel feladat'!N24)</f>
        <v>16255750</v>
      </c>
      <c r="E35" s="16"/>
      <c r="F35" s="15"/>
      <c r="G35" s="129"/>
      <c r="H35" s="15"/>
      <c r="I35" s="130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24.75" customHeight="1">
      <c r="A36" s="593" t="s">
        <v>553</v>
      </c>
      <c r="B36" s="596" t="s">
        <v>386</v>
      </c>
      <c r="C36" s="595" t="s">
        <v>387</v>
      </c>
      <c r="D36" s="229"/>
      <c r="E36" s="16"/>
      <c r="F36" s="15"/>
      <c r="G36" s="129"/>
      <c r="H36" s="15"/>
      <c r="I36" s="13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20" customFormat="1" ht="24.75" customHeight="1">
      <c r="A37" s="593" t="s">
        <v>509</v>
      </c>
      <c r="B37" s="604" t="s">
        <v>77</v>
      </c>
      <c r="C37" s="602" t="s">
        <v>7</v>
      </c>
      <c r="D37" s="607">
        <f>SUM(D38:D39)</f>
        <v>11240831</v>
      </c>
      <c r="E37" s="239"/>
      <c r="F37" s="240"/>
      <c r="G37" s="241"/>
      <c r="H37" s="242"/>
      <c r="I37" s="241"/>
      <c r="J37" s="241"/>
      <c r="K37" s="241"/>
      <c r="L37" s="241"/>
      <c r="M37" s="241"/>
      <c r="N37" s="240"/>
      <c r="O37" s="240"/>
      <c r="P37" s="240"/>
      <c r="Q37" s="240"/>
      <c r="R37" s="240"/>
      <c r="S37" s="240"/>
      <c r="T37" s="240"/>
      <c r="U37" s="240"/>
      <c r="V37" s="240"/>
    </row>
    <row r="38" spans="1:22" ht="24.75" customHeight="1">
      <c r="A38" s="593" t="s">
        <v>518</v>
      </c>
      <c r="B38" s="608" t="s">
        <v>377</v>
      </c>
      <c r="C38" s="595" t="s">
        <v>78</v>
      </c>
      <c r="D38" s="229">
        <f>SUM('6.sz.bevétel feladat'!R10)-D39</f>
        <v>4758921</v>
      </c>
      <c r="E38" s="18"/>
      <c r="F38" s="15"/>
      <c r="G38" s="15"/>
      <c r="H38" s="15"/>
      <c r="I38" s="130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24.75" customHeight="1">
      <c r="A39" s="593" t="s">
        <v>519</v>
      </c>
      <c r="B39" s="608" t="s">
        <v>671</v>
      </c>
      <c r="C39" s="595" t="s">
        <v>672</v>
      </c>
      <c r="D39" s="229">
        <v>6481910</v>
      </c>
      <c r="E39" s="18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20" customFormat="1" ht="24.75" customHeight="1">
      <c r="A40" s="593" t="s">
        <v>510</v>
      </c>
      <c r="B40" s="604" t="s">
        <v>79</v>
      </c>
      <c r="C40" s="602" t="s">
        <v>80</v>
      </c>
      <c r="D40" s="226">
        <f>SUM(D41)</f>
        <v>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</row>
    <row r="41" spans="1:22" ht="24.75" customHeight="1">
      <c r="A41" s="593" t="s">
        <v>521</v>
      </c>
      <c r="B41" s="608" t="s">
        <v>378</v>
      </c>
      <c r="C41" s="597" t="s">
        <v>81</v>
      </c>
      <c r="D41" s="226">
        <v>0</v>
      </c>
      <c r="E41" s="1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20" customFormat="1" ht="24.75" customHeight="1">
      <c r="A42" s="593" t="s">
        <v>511</v>
      </c>
      <c r="B42" s="601" t="s">
        <v>82</v>
      </c>
      <c r="C42" s="602" t="s">
        <v>14</v>
      </c>
      <c r="D42" s="226">
        <f>SUM(D43)</f>
        <v>0</v>
      </c>
      <c r="E42" s="239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</row>
    <row r="43" spans="1:22" ht="24.75" customHeight="1">
      <c r="A43" s="593" t="s">
        <v>526</v>
      </c>
      <c r="B43" s="608" t="s">
        <v>83</v>
      </c>
      <c r="C43" s="595" t="s">
        <v>84</v>
      </c>
      <c r="D43" s="226">
        <v>0</v>
      </c>
      <c r="E43" s="18"/>
      <c r="F43" s="15"/>
      <c r="G43" s="12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24.75" customHeight="1">
      <c r="A44" s="593"/>
      <c r="B44" s="609"/>
      <c r="C44" s="602" t="s">
        <v>531</v>
      </c>
      <c r="D44" s="227">
        <f>SUM(D7+D16+D19+D26+D37)</f>
        <v>5443971183</v>
      </c>
      <c r="E44" s="18"/>
      <c r="F44" s="15"/>
      <c r="G44" s="12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20" customFormat="1" ht="24.75" customHeight="1">
      <c r="A45" s="593" t="s">
        <v>512</v>
      </c>
      <c r="B45" s="601" t="s">
        <v>86</v>
      </c>
      <c r="C45" s="602" t="s">
        <v>13</v>
      </c>
      <c r="D45" s="607">
        <f>SUM(D46:D47)</f>
        <v>2961505283</v>
      </c>
      <c r="E45" s="239"/>
      <c r="F45" s="240"/>
      <c r="G45" s="241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</row>
    <row r="46" spans="1:22" ht="24.75" customHeight="1">
      <c r="A46" s="593" t="s">
        <v>528</v>
      </c>
      <c r="B46" s="608" t="s">
        <v>379</v>
      </c>
      <c r="C46" s="595" t="s">
        <v>87</v>
      </c>
      <c r="D46" s="225">
        <f>+'6.sz.bevétel feladat'!U16</f>
        <v>1300460000</v>
      </c>
      <c r="E46" s="18"/>
      <c r="F46" s="15"/>
      <c r="G46" s="12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24.75" customHeight="1" thickBot="1">
      <c r="A47" s="610" t="s">
        <v>529</v>
      </c>
      <c r="B47" s="611" t="s">
        <v>88</v>
      </c>
      <c r="C47" s="612" t="s">
        <v>89</v>
      </c>
      <c r="D47" s="581">
        <f>SUM('6.sz.bevétel feladat'!U12)</f>
        <v>1661045283</v>
      </c>
      <c r="E47" s="14"/>
      <c r="F47" s="15"/>
      <c r="G47" s="12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24.75" customHeight="1" thickBot="1" thickTop="1">
      <c r="A48" s="765" t="s">
        <v>90</v>
      </c>
      <c r="B48" s="766"/>
      <c r="C48" s="767"/>
      <c r="D48" s="245">
        <f>SUM(D7+D16+D19+D26+D37+D40+D42+D45)</f>
        <v>8405476466</v>
      </c>
      <c r="E48" s="14"/>
      <c r="F48" s="19"/>
      <c r="G48" s="12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2:22" ht="24.75" customHeight="1" thickTop="1">
      <c r="B49" s="21"/>
      <c r="C49" s="15"/>
      <c r="D49" s="22"/>
      <c r="E49" s="14"/>
      <c r="F49" s="15"/>
      <c r="G49" s="129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7" ht="24.75" customHeight="1">
      <c r="A50" s="582"/>
      <c r="B50" s="583"/>
      <c r="C50" s="14"/>
      <c r="D50" s="613"/>
      <c r="G50" s="129"/>
    </row>
    <row r="51" spans="1:7" ht="24.75" customHeight="1">
      <c r="A51" s="582"/>
      <c r="B51" s="583"/>
      <c r="C51" s="14"/>
      <c r="D51" s="613"/>
      <c r="G51" s="129"/>
    </row>
    <row r="52" spans="1:7" ht="24.75" customHeight="1">
      <c r="A52" s="582"/>
      <c r="B52" s="583"/>
      <c r="D52" s="614"/>
      <c r="G52" s="19"/>
    </row>
    <row r="53" spans="1:4" ht="24.75" customHeight="1">
      <c r="A53" s="582"/>
      <c r="B53" s="583"/>
      <c r="D53" s="614"/>
    </row>
    <row r="54" ht="24.75" customHeight="1">
      <c r="D54" s="614"/>
    </row>
    <row r="55" ht="24.75" customHeight="1">
      <c r="D55" s="614"/>
    </row>
    <row r="56" ht="24.75" customHeight="1">
      <c r="D56" s="616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mergeCells count="4">
    <mergeCell ref="A2:D2"/>
    <mergeCell ref="A3:D3"/>
    <mergeCell ref="A4:D4"/>
    <mergeCell ref="A48:C48"/>
  </mergeCells>
  <printOptions horizontalCentered="1" verticalCentered="1"/>
  <pageMargins left="0" right="0" top="0.1968503937007874" bottom="0.1968503937007874" header="0.1968503937007874" footer="0.1181102362204724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9">
      <selection activeCell="F36" sqref="F36"/>
    </sheetView>
  </sheetViews>
  <sheetFormatPr defaultColWidth="9.00390625" defaultRowHeight="12.75"/>
  <cols>
    <col min="1" max="1" width="9.875" style="246" customWidth="1"/>
    <col min="2" max="2" width="77.875" style="249" customWidth="1"/>
    <col min="3" max="3" width="17.125" style="517" customWidth="1"/>
    <col min="4" max="4" width="11.25390625" style="249" bestFit="1" customWidth="1"/>
    <col min="5" max="5" width="9.125" style="249" customWidth="1"/>
    <col min="6" max="6" width="16.625" style="249" bestFit="1" customWidth="1"/>
    <col min="7" max="8" width="9.125" style="249" customWidth="1"/>
    <col min="9" max="9" width="19.375" style="249" bestFit="1" customWidth="1"/>
    <col min="10" max="16384" width="9.125" style="249" customWidth="1"/>
  </cols>
  <sheetData>
    <row r="1" spans="1:3" ht="15.75">
      <c r="A1" s="441" t="s">
        <v>1</v>
      </c>
      <c r="C1" s="513" t="s">
        <v>555</v>
      </c>
    </row>
    <row r="2" spans="1:3" ht="15.75">
      <c r="A2" s="441"/>
      <c r="C2" s="513"/>
    </row>
    <row r="3" spans="1:3" ht="42.75" customHeight="1" thickBot="1">
      <c r="A3" s="768" t="s">
        <v>584</v>
      </c>
      <c r="B3" s="769"/>
      <c r="C3" s="770"/>
    </row>
    <row r="4" spans="1:3" ht="32.25" customHeight="1" thickBot="1" thickTop="1">
      <c r="A4" s="261" t="s">
        <v>41</v>
      </c>
      <c r="B4" s="262" t="s">
        <v>120</v>
      </c>
      <c r="C4" s="263" t="s">
        <v>556</v>
      </c>
    </row>
    <row r="5" spans="1:9" s="514" customFormat="1" ht="24.75" customHeight="1" thickTop="1">
      <c r="A5" s="508" t="s">
        <v>532</v>
      </c>
      <c r="B5" s="257" t="s">
        <v>121</v>
      </c>
      <c r="C5" s="258">
        <f>SUM(C6:C12)</f>
        <v>780539769</v>
      </c>
      <c r="I5" s="515"/>
    </row>
    <row r="6" spans="1:3" ht="24.75" customHeight="1">
      <c r="A6" s="506" t="s">
        <v>629</v>
      </c>
      <c r="B6" s="253" t="s">
        <v>554</v>
      </c>
      <c r="C6" s="254">
        <v>476325000</v>
      </c>
    </row>
    <row r="7" spans="1:3" ht="24.75" customHeight="1">
      <c r="A7" s="504" t="s">
        <v>630</v>
      </c>
      <c r="B7" s="253" t="s">
        <v>631</v>
      </c>
      <c r="C7" s="254">
        <v>34723080</v>
      </c>
    </row>
    <row r="8" spans="1:3" ht="24.75" customHeight="1">
      <c r="A8" s="504" t="s">
        <v>632</v>
      </c>
      <c r="B8" s="253" t="s">
        <v>633</v>
      </c>
      <c r="C8" s="254">
        <v>80676000</v>
      </c>
    </row>
    <row r="9" spans="1:3" ht="24.75" customHeight="1">
      <c r="A9" s="504" t="s">
        <v>634</v>
      </c>
      <c r="B9" s="253" t="s">
        <v>638</v>
      </c>
      <c r="C9" s="254">
        <v>4982810</v>
      </c>
    </row>
    <row r="10" spans="1:3" ht="24.75" customHeight="1">
      <c r="A10" s="504" t="s">
        <v>635</v>
      </c>
      <c r="B10" s="253" t="s">
        <v>639</v>
      </c>
      <c r="C10" s="254">
        <v>65045179</v>
      </c>
    </row>
    <row r="11" spans="1:3" ht="24.75" customHeight="1">
      <c r="A11" s="504" t="s">
        <v>636</v>
      </c>
      <c r="B11" s="253" t="s">
        <v>640</v>
      </c>
      <c r="C11" s="254">
        <v>118165500</v>
      </c>
    </row>
    <row r="12" spans="1:12" ht="24.75" customHeight="1">
      <c r="A12" s="504" t="s">
        <v>637</v>
      </c>
      <c r="B12" s="253" t="s">
        <v>641</v>
      </c>
      <c r="C12" s="254">
        <v>622200</v>
      </c>
      <c r="I12" s="515"/>
      <c r="J12" s="515"/>
      <c r="K12" s="515"/>
      <c r="L12" s="515"/>
    </row>
    <row r="13" spans="1:9" s="514" customFormat="1" ht="24.75" customHeight="1">
      <c r="A13" s="251" t="s">
        <v>533</v>
      </c>
      <c r="B13" s="251" t="s">
        <v>122</v>
      </c>
      <c r="C13" s="252">
        <f>SUM(C14:C17)</f>
        <v>893337050</v>
      </c>
      <c r="I13" s="515"/>
    </row>
    <row r="14" spans="1:12" s="514" customFormat="1" ht="30.75" customHeight="1">
      <c r="A14" s="504" t="s">
        <v>642</v>
      </c>
      <c r="B14" s="253" t="s">
        <v>123</v>
      </c>
      <c r="C14" s="254">
        <v>124866800</v>
      </c>
      <c r="F14" s="516"/>
      <c r="I14" s="515"/>
      <c r="J14" s="515"/>
      <c r="K14" s="515"/>
      <c r="L14" s="515"/>
    </row>
    <row r="15" spans="1:12" s="514" customFormat="1" ht="24.75" customHeight="1">
      <c r="A15" s="504" t="s">
        <v>643</v>
      </c>
      <c r="B15" s="253" t="s">
        <v>644</v>
      </c>
      <c r="C15" s="254">
        <v>540112650</v>
      </c>
      <c r="F15" s="516"/>
      <c r="I15" s="515"/>
      <c r="J15" s="515"/>
      <c r="K15" s="515"/>
      <c r="L15" s="515"/>
    </row>
    <row r="16" spans="1:12" s="514" customFormat="1" ht="24.75" customHeight="1">
      <c r="A16" s="507" t="s">
        <v>645</v>
      </c>
      <c r="B16" s="253" t="s">
        <v>124</v>
      </c>
      <c r="C16" s="254">
        <v>22860000</v>
      </c>
      <c r="F16" s="516"/>
      <c r="I16" s="515"/>
      <c r="J16" s="515"/>
      <c r="K16" s="515"/>
      <c r="L16" s="515"/>
    </row>
    <row r="17" spans="1:12" s="514" customFormat="1" ht="31.5" customHeight="1">
      <c r="A17" s="504" t="s">
        <v>646</v>
      </c>
      <c r="B17" s="253" t="s">
        <v>647</v>
      </c>
      <c r="C17" s="254">
        <v>205497600</v>
      </c>
      <c r="F17" s="516"/>
      <c r="I17" s="515"/>
      <c r="J17" s="515"/>
      <c r="K17" s="515"/>
      <c r="L17" s="515"/>
    </row>
    <row r="18" spans="1:9" s="514" customFormat="1" ht="24.75" customHeight="1">
      <c r="A18" s="251" t="s">
        <v>534</v>
      </c>
      <c r="B18" s="251" t="s">
        <v>649</v>
      </c>
      <c r="C18" s="252">
        <f>SUM(C19+C22)</f>
        <v>289642000</v>
      </c>
      <c r="I18" s="515"/>
    </row>
    <row r="19" spans="1:12" s="514" customFormat="1" ht="24.75" customHeight="1">
      <c r="A19" s="505" t="s">
        <v>652</v>
      </c>
      <c r="B19" s="255" t="s">
        <v>125</v>
      </c>
      <c r="C19" s="256">
        <f>SUM(C20:C21)</f>
        <v>63430000</v>
      </c>
      <c r="F19" s="516"/>
      <c r="I19" s="515"/>
      <c r="J19" s="515"/>
      <c r="K19" s="515"/>
      <c r="L19" s="515"/>
    </row>
    <row r="20" spans="1:12" s="514" customFormat="1" ht="24.75" customHeight="1">
      <c r="A20" s="504" t="s">
        <v>653</v>
      </c>
      <c r="B20" s="253" t="s">
        <v>126</v>
      </c>
      <c r="C20" s="254">
        <v>22550000</v>
      </c>
      <c r="F20" s="516"/>
      <c r="I20" s="515"/>
      <c r="J20" s="515"/>
      <c r="K20" s="515"/>
      <c r="L20" s="515"/>
    </row>
    <row r="21" spans="1:12" s="514" customFormat="1" ht="24.75" customHeight="1">
      <c r="A21" s="504" t="s">
        <v>654</v>
      </c>
      <c r="B21" s="253" t="s">
        <v>127</v>
      </c>
      <c r="C21" s="254">
        <v>40880000</v>
      </c>
      <c r="I21" s="515"/>
      <c r="J21" s="515"/>
      <c r="K21" s="515"/>
      <c r="L21" s="515"/>
    </row>
    <row r="22" spans="1:12" ht="24.75" customHeight="1">
      <c r="A22" s="509" t="s">
        <v>648</v>
      </c>
      <c r="B22" s="255" t="s">
        <v>131</v>
      </c>
      <c r="C22" s="256">
        <f>SUM(C23:C24)</f>
        <v>226212000</v>
      </c>
      <c r="I22" s="515"/>
      <c r="J22" s="515"/>
      <c r="K22" s="515"/>
      <c r="L22" s="515"/>
    </row>
    <row r="23" spans="1:12" ht="24.75" customHeight="1">
      <c r="A23" s="504" t="s">
        <v>650</v>
      </c>
      <c r="B23" s="253" t="s">
        <v>129</v>
      </c>
      <c r="C23" s="254">
        <v>189864000</v>
      </c>
      <c r="I23" s="515"/>
      <c r="J23" s="515"/>
      <c r="K23" s="515"/>
      <c r="L23" s="515"/>
    </row>
    <row r="24" spans="1:12" ht="24.75" customHeight="1">
      <c r="A24" s="504" t="s">
        <v>651</v>
      </c>
      <c r="B24" s="253" t="s">
        <v>348</v>
      </c>
      <c r="C24" s="254">
        <v>36348000</v>
      </c>
      <c r="I24" s="515"/>
      <c r="J24" s="515"/>
      <c r="K24" s="515"/>
      <c r="L24" s="515"/>
    </row>
    <row r="25" spans="1:9" s="514" customFormat="1" ht="24.75" customHeight="1">
      <c r="A25" s="251" t="s">
        <v>535</v>
      </c>
      <c r="B25" s="510" t="s">
        <v>128</v>
      </c>
      <c r="C25" s="511">
        <f>SUM(C26:C28)</f>
        <v>248160431</v>
      </c>
      <c r="I25" s="515"/>
    </row>
    <row r="26" spans="1:3" s="514" customFormat="1" ht="24.75" customHeight="1">
      <c r="A26" s="504" t="s">
        <v>655</v>
      </c>
      <c r="B26" s="253" t="s">
        <v>656</v>
      </c>
      <c r="C26" s="254">
        <v>149189040</v>
      </c>
    </row>
    <row r="27" spans="1:3" ht="24.75" customHeight="1">
      <c r="A27" s="504" t="s">
        <v>657</v>
      </c>
      <c r="B27" s="253" t="s">
        <v>130</v>
      </c>
      <c r="C27" s="254">
        <v>98934911</v>
      </c>
    </row>
    <row r="28" spans="1:3" ht="21.75" customHeight="1">
      <c r="A28" s="253" t="s">
        <v>658</v>
      </c>
      <c r="B28" s="253" t="s">
        <v>659</v>
      </c>
      <c r="C28" s="254">
        <v>36480</v>
      </c>
    </row>
    <row r="29" spans="1:4" ht="35.25" customHeight="1">
      <c r="A29" s="512" t="s">
        <v>536</v>
      </c>
      <c r="B29" s="251" t="s">
        <v>132</v>
      </c>
      <c r="C29" s="252">
        <f>SUM(C30)</f>
        <v>94970050</v>
      </c>
      <c r="D29" s="385"/>
    </row>
    <row r="30" spans="1:3" ht="29.25" customHeight="1" thickBot="1">
      <c r="A30" s="518" t="s">
        <v>660</v>
      </c>
      <c r="B30" s="259" t="s">
        <v>133</v>
      </c>
      <c r="C30" s="260">
        <v>94970050</v>
      </c>
    </row>
    <row r="31" spans="1:3" ht="28.5" customHeight="1" thickBot="1" thickTop="1">
      <c r="A31" s="752"/>
      <c r="B31" s="753" t="s">
        <v>585</v>
      </c>
      <c r="C31" s="754">
        <f>SUM(C5+C13+C18+C29+C25)</f>
        <v>2306649300</v>
      </c>
    </row>
    <row r="32" spans="2:3" ht="15.75" thickTop="1">
      <c r="B32" s="247"/>
      <c r="C32" s="248"/>
    </row>
    <row r="33" spans="1:3" ht="44.25" customHeight="1" thickBot="1">
      <c r="A33" s="771" t="s">
        <v>586</v>
      </c>
      <c r="B33" s="772"/>
      <c r="C33" s="773"/>
    </row>
    <row r="34" spans="1:3" ht="21" customHeight="1" thickBot="1" thickTop="1">
      <c r="A34" s="519" t="s">
        <v>628</v>
      </c>
      <c r="B34" s="520" t="s">
        <v>627</v>
      </c>
      <c r="C34" s="521">
        <v>47863420</v>
      </c>
    </row>
    <row r="35" spans="2:3" ht="15.75" thickTop="1">
      <c r="B35" s="247"/>
      <c r="C35" s="248"/>
    </row>
    <row r="36" ht="15.75" thickBot="1">
      <c r="C36" s="248"/>
    </row>
    <row r="37" spans="1:3" ht="17.25" thickBot="1" thickTop="1">
      <c r="A37" s="522"/>
      <c r="B37" s="523" t="s">
        <v>587</v>
      </c>
      <c r="C37" s="524">
        <f>+C31+C34</f>
        <v>2354512720</v>
      </c>
    </row>
    <row r="38" ht="26.25" thickTop="1"/>
  </sheetData>
  <sheetProtection/>
  <mergeCells count="2">
    <mergeCell ref="A3:C3"/>
    <mergeCell ref="A33:C33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2"/>
  <sheetViews>
    <sheetView workbookViewId="0" topLeftCell="A1">
      <pane ySplit="8" topLeftCell="A60" activePane="bottomLeft" state="frozen"/>
      <selection pane="topLeft" activeCell="A1" sqref="A1"/>
      <selection pane="bottomLeft" activeCell="C80" sqref="C80"/>
    </sheetView>
  </sheetViews>
  <sheetFormatPr defaultColWidth="9.00390625" defaultRowHeight="12.75"/>
  <cols>
    <col min="1" max="1" width="9.625" style="52" customWidth="1"/>
    <col min="2" max="2" width="55.25390625" style="52" customWidth="1"/>
    <col min="3" max="3" width="13.625" style="52" customWidth="1"/>
    <col min="4" max="4" width="14.00390625" style="52" customWidth="1"/>
    <col min="5" max="5" width="12.25390625" style="52" customWidth="1"/>
    <col min="6" max="6" width="12.375" style="52" customWidth="1"/>
    <col min="7" max="8" width="11.125" style="52" customWidth="1"/>
    <col min="9" max="9" width="11.875" style="52" customWidth="1"/>
    <col min="10" max="10" width="12.00390625" style="52" customWidth="1"/>
    <col min="11" max="11" width="9.875" style="52" customWidth="1"/>
    <col min="12" max="12" width="12.875" style="52" customWidth="1"/>
    <col min="13" max="13" width="13.375" style="52" customWidth="1"/>
    <col min="14" max="14" width="12.875" style="52" customWidth="1"/>
    <col min="15" max="15" width="11.375" style="52" customWidth="1"/>
    <col min="16" max="16" width="11.625" style="52" bestFit="1" customWidth="1"/>
    <col min="17" max="17" width="11.375" style="52" customWidth="1"/>
    <col min="18" max="18" width="12.25390625" style="52" customWidth="1"/>
    <col min="19" max="19" width="8.375" style="52" customWidth="1"/>
    <col min="20" max="20" width="13.125" style="52" bestFit="1" customWidth="1"/>
    <col min="21" max="21" width="15.125" style="52" bestFit="1" customWidth="1"/>
    <col min="22" max="22" width="18.75390625" style="52" bestFit="1" customWidth="1"/>
    <col min="23" max="23" width="12.25390625" style="52" bestFit="1" customWidth="1"/>
    <col min="24" max="16384" width="9.125" style="52" customWidth="1"/>
  </cols>
  <sheetData>
    <row r="1" ht="12.75">
      <c r="R1" s="264" t="s">
        <v>220</v>
      </c>
    </row>
    <row r="2" spans="1:20" ht="14.25">
      <c r="A2" s="783" t="s">
        <v>502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295"/>
      <c r="T2" s="295"/>
    </row>
    <row r="3" spans="1:20" ht="15.75">
      <c r="A3" s="783" t="s">
        <v>621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128"/>
      <c r="T3" s="128"/>
    </row>
    <row r="4" spans="1:20" ht="14.25" customHeight="1" thickBot="1">
      <c r="A4" s="782" t="s">
        <v>596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T4" s="53"/>
    </row>
    <row r="5" spans="1:19" s="282" customFormat="1" ht="19.5" customHeight="1" thickTop="1">
      <c r="A5" s="784" t="s">
        <v>223</v>
      </c>
      <c r="B5" s="786" t="s">
        <v>16</v>
      </c>
      <c r="C5" s="786" t="s">
        <v>221</v>
      </c>
      <c r="D5" s="786" t="s">
        <v>260</v>
      </c>
      <c r="E5" s="786"/>
      <c r="F5" s="786"/>
      <c r="G5" s="786"/>
      <c r="H5" s="786"/>
      <c r="I5" s="786"/>
      <c r="J5" s="786"/>
      <c r="K5" s="786"/>
      <c r="L5" s="786"/>
      <c r="M5" s="786" t="s">
        <v>222</v>
      </c>
      <c r="N5" s="786"/>
      <c r="O5" s="786"/>
      <c r="P5" s="786"/>
      <c r="Q5" s="786"/>
      <c r="R5" s="789" t="s">
        <v>225</v>
      </c>
      <c r="S5" s="281"/>
    </row>
    <row r="6" spans="1:19" s="282" customFormat="1" ht="66" customHeight="1" thickBot="1">
      <c r="A6" s="785"/>
      <c r="B6" s="787"/>
      <c r="C6" s="788"/>
      <c r="D6" s="283" t="s">
        <v>557</v>
      </c>
      <c r="E6" s="283" t="s">
        <v>558</v>
      </c>
      <c r="F6" s="283" t="s">
        <v>301</v>
      </c>
      <c r="G6" s="283" t="s">
        <v>559</v>
      </c>
      <c r="H6" s="283" t="s">
        <v>701</v>
      </c>
      <c r="I6" s="283" t="s">
        <v>560</v>
      </c>
      <c r="J6" s="283" t="s">
        <v>561</v>
      </c>
      <c r="K6" s="283" t="s">
        <v>304</v>
      </c>
      <c r="L6" s="283" t="s">
        <v>488</v>
      </c>
      <c r="M6" s="283" t="s">
        <v>306</v>
      </c>
      <c r="N6" s="283" t="s">
        <v>307</v>
      </c>
      <c r="O6" s="283" t="s">
        <v>562</v>
      </c>
      <c r="P6" s="283" t="s">
        <v>563</v>
      </c>
      <c r="Q6" s="283" t="s">
        <v>224</v>
      </c>
      <c r="R6" s="790"/>
      <c r="S6" s="281"/>
    </row>
    <row r="7" spans="1:19" ht="13.5" thickTop="1">
      <c r="A7" s="56" t="s">
        <v>43</v>
      </c>
      <c r="B7" s="57">
        <v>2</v>
      </c>
      <c r="C7" s="284">
        <v>3</v>
      </c>
      <c r="D7" s="59">
        <v>4</v>
      </c>
      <c r="E7" s="58">
        <v>5</v>
      </c>
      <c r="F7" s="58">
        <v>6</v>
      </c>
      <c r="G7" s="58">
        <v>7</v>
      </c>
      <c r="H7" s="284">
        <v>8</v>
      </c>
      <c r="I7" s="59">
        <v>9</v>
      </c>
      <c r="J7" s="58">
        <v>10</v>
      </c>
      <c r="K7" s="58">
        <v>11</v>
      </c>
      <c r="L7" s="58">
        <v>12</v>
      </c>
      <c r="M7" s="284">
        <v>13</v>
      </c>
      <c r="N7" s="59">
        <v>14</v>
      </c>
      <c r="O7" s="58">
        <v>15</v>
      </c>
      <c r="P7" s="58">
        <v>16</v>
      </c>
      <c r="Q7" s="58">
        <v>17</v>
      </c>
      <c r="R7" s="284">
        <v>18</v>
      </c>
      <c r="S7" s="55"/>
    </row>
    <row r="8" spans="1:19" ht="12.75">
      <c r="A8" s="266"/>
      <c r="B8" s="271" t="s">
        <v>108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55"/>
    </row>
    <row r="9" spans="1:19" ht="12.75">
      <c r="A9" s="268" t="s">
        <v>439</v>
      </c>
      <c r="B9" s="269" t="s">
        <v>226</v>
      </c>
      <c r="C9" s="278">
        <f aca="true" t="shared" si="0" ref="C9:C42">SUM(D9:R9)</f>
        <v>283058896</v>
      </c>
      <c r="D9" s="278">
        <f>150555484-4418320</f>
        <v>146137164</v>
      </c>
      <c r="E9" s="278">
        <f>23830350-686640</f>
        <v>23143710</v>
      </c>
      <c r="F9" s="278">
        <f>77920222-3200</f>
        <v>77917022</v>
      </c>
      <c r="G9" s="278"/>
      <c r="H9" s="278"/>
      <c r="I9" s="278">
        <v>12861000</v>
      </c>
      <c r="J9" s="278"/>
      <c r="K9" s="278">
        <v>2000000</v>
      </c>
      <c r="L9" s="278">
        <f>23000000-2000000</f>
        <v>21000000</v>
      </c>
      <c r="M9" s="278"/>
      <c r="N9" s="278"/>
      <c r="O9" s="278"/>
      <c r="P9" s="278"/>
      <c r="Q9" s="278"/>
      <c r="R9" s="278"/>
      <c r="S9" s="127"/>
    </row>
    <row r="10" spans="1:19" ht="12.75">
      <c r="A10" s="268" t="s">
        <v>440</v>
      </c>
      <c r="B10" s="269" t="s">
        <v>227</v>
      </c>
      <c r="C10" s="278">
        <f t="shared" si="0"/>
        <v>8255000</v>
      </c>
      <c r="D10" s="278"/>
      <c r="E10" s="278"/>
      <c r="F10" s="278">
        <v>8255000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127"/>
    </row>
    <row r="11" spans="1:19" ht="12.75">
      <c r="A11" s="268" t="s">
        <v>21</v>
      </c>
      <c r="B11" s="269" t="s">
        <v>228</v>
      </c>
      <c r="C11" s="278">
        <f t="shared" si="0"/>
        <v>199506200</v>
      </c>
      <c r="D11" s="278"/>
      <c r="E11" s="278"/>
      <c r="F11" s="278">
        <v>11506200</v>
      </c>
      <c r="G11" s="278"/>
      <c r="H11" s="278"/>
      <c r="I11" s="278"/>
      <c r="J11" s="278"/>
      <c r="K11" s="278"/>
      <c r="L11" s="278"/>
      <c r="M11" s="278">
        <f>40000000+72000000</f>
        <v>112000000</v>
      </c>
      <c r="N11" s="278"/>
      <c r="O11" s="278"/>
      <c r="P11" s="278"/>
      <c r="Q11" s="278">
        <f>110000000-34000000</f>
        <v>76000000</v>
      </c>
      <c r="R11" s="278"/>
      <c r="S11" s="127"/>
    </row>
    <row r="12" spans="1:19" ht="12.75">
      <c r="A12" s="268" t="s">
        <v>441</v>
      </c>
      <c r="B12" s="269" t="s">
        <v>229</v>
      </c>
      <c r="C12" s="278">
        <f t="shared" si="0"/>
        <v>33170315</v>
      </c>
      <c r="D12" s="278">
        <v>5000000</v>
      </c>
      <c r="E12" s="278">
        <v>775000</v>
      </c>
      <c r="F12" s="278">
        <f>30395315-3000000</f>
        <v>27395315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127"/>
    </row>
    <row r="13" spans="1:19" ht="12.75">
      <c r="A13" s="268" t="s">
        <v>23</v>
      </c>
      <c r="B13" s="269" t="s">
        <v>727</v>
      </c>
      <c r="C13" s="278">
        <f t="shared" si="0"/>
        <v>94180509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>
        <v>94180509</v>
      </c>
      <c r="S13" s="127"/>
    </row>
    <row r="14" spans="1:19" ht="12.75">
      <c r="A14" s="268" t="s">
        <v>702</v>
      </c>
      <c r="B14" s="269" t="s">
        <v>703</v>
      </c>
      <c r="C14" s="278">
        <f t="shared" si="0"/>
        <v>526412895</v>
      </c>
      <c r="D14" s="278"/>
      <c r="E14" s="278"/>
      <c r="F14" s="278"/>
      <c r="G14" s="278"/>
      <c r="H14" s="278">
        <v>526412895</v>
      </c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127"/>
    </row>
    <row r="15" spans="1:19" ht="12.75">
      <c r="A15" s="268" t="s">
        <v>442</v>
      </c>
      <c r="B15" s="269" t="s">
        <v>249</v>
      </c>
      <c r="C15" s="278">
        <f t="shared" si="0"/>
        <v>37702645</v>
      </c>
      <c r="D15" s="278"/>
      <c r="E15" s="278"/>
      <c r="F15" s="278">
        <v>4602645</v>
      </c>
      <c r="G15" s="278"/>
      <c r="H15" s="278"/>
      <c r="I15" s="278">
        <v>600000</v>
      </c>
      <c r="J15" s="278">
        <v>2500000</v>
      </c>
      <c r="K15" s="278"/>
      <c r="L15" s="278"/>
      <c r="M15" s="278">
        <v>30000000</v>
      </c>
      <c r="N15" s="278"/>
      <c r="O15" s="278"/>
      <c r="P15" s="278"/>
      <c r="Q15" s="279"/>
      <c r="R15" s="279"/>
      <c r="S15" s="124"/>
    </row>
    <row r="16" spans="1:19" ht="12.75">
      <c r="A16" s="268" t="s">
        <v>443</v>
      </c>
      <c r="B16" s="269" t="s">
        <v>444</v>
      </c>
      <c r="C16" s="278">
        <f t="shared" si="0"/>
        <v>1965000</v>
      </c>
      <c r="D16" s="278">
        <v>1500000</v>
      </c>
      <c r="E16" s="278">
        <v>465000</v>
      </c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127"/>
    </row>
    <row r="17" spans="1:19" ht="12.75">
      <c r="A17" s="268" t="s">
        <v>722</v>
      </c>
      <c r="B17" s="269" t="s">
        <v>723</v>
      </c>
      <c r="C17" s="278">
        <f t="shared" si="0"/>
        <v>1648460</v>
      </c>
      <c r="D17" s="278"/>
      <c r="E17" s="278"/>
      <c r="F17" s="278"/>
      <c r="G17" s="278"/>
      <c r="H17" s="278"/>
      <c r="I17" s="278"/>
      <c r="J17" s="278"/>
      <c r="K17" s="278"/>
      <c r="L17" s="278"/>
      <c r="M17" s="278">
        <v>1648460</v>
      </c>
      <c r="N17" s="278"/>
      <c r="O17" s="278"/>
      <c r="P17" s="278"/>
      <c r="Q17" s="278"/>
      <c r="R17" s="278"/>
      <c r="S17" s="127"/>
    </row>
    <row r="18" spans="1:19" ht="12.75">
      <c r="A18" s="268" t="s">
        <v>26</v>
      </c>
      <c r="B18" s="269" t="s">
        <v>445</v>
      </c>
      <c r="C18" s="278">
        <f t="shared" si="0"/>
        <v>379205816</v>
      </c>
      <c r="D18" s="278"/>
      <c r="E18" s="278"/>
      <c r="F18" s="278">
        <f>35179000+10000000</f>
        <v>45179000</v>
      </c>
      <c r="G18" s="278"/>
      <c r="H18" s="278"/>
      <c r="I18" s="278"/>
      <c r="J18" s="278"/>
      <c r="K18" s="278"/>
      <c r="L18" s="278"/>
      <c r="M18" s="278">
        <v>236036633</v>
      </c>
      <c r="N18" s="278">
        <v>97990183</v>
      </c>
      <c r="O18" s="278"/>
      <c r="P18" s="278"/>
      <c r="Q18" s="278"/>
      <c r="R18" s="278"/>
      <c r="S18" s="127"/>
    </row>
    <row r="19" spans="1:19" ht="12.75">
      <c r="A19" s="268" t="s">
        <v>27</v>
      </c>
      <c r="B19" s="269" t="s">
        <v>230</v>
      </c>
      <c r="C19" s="278">
        <f t="shared" si="0"/>
        <v>114080000</v>
      </c>
      <c r="D19" s="278"/>
      <c r="E19" s="278"/>
      <c r="F19" s="278">
        <v>114080000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127"/>
    </row>
    <row r="20" spans="1:19" ht="12.75">
      <c r="A20" s="268" t="s">
        <v>446</v>
      </c>
      <c r="B20" s="269" t="s">
        <v>231</v>
      </c>
      <c r="C20" s="278">
        <f t="shared" si="0"/>
        <v>77660500</v>
      </c>
      <c r="D20" s="278"/>
      <c r="E20" s="278"/>
      <c r="F20" s="278">
        <v>77660500</v>
      </c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127"/>
    </row>
    <row r="21" spans="1:19" ht="12.75">
      <c r="A21" s="268" t="s">
        <v>28</v>
      </c>
      <c r="B21" s="269" t="s">
        <v>232</v>
      </c>
      <c r="C21" s="278">
        <f t="shared" si="0"/>
        <v>164110626</v>
      </c>
      <c r="D21" s="278"/>
      <c r="E21" s="278"/>
      <c r="F21" s="278">
        <v>25350648</v>
      </c>
      <c r="G21" s="278"/>
      <c r="H21" s="278"/>
      <c r="I21" s="278"/>
      <c r="J21" s="278"/>
      <c r="K21" s="278"/>
      <c r="L21" s="278"/>
      <c r="M21" s="278">
        <v>133759978</v>
      </c>
      <c r="N21" s="278">
        <v>5000000</v>
      </c>
      <c r="O21" s="278"/>
      <c r="P21" s="278"/>
      <c r="Q21" s="278"/>
      <c r="R21" s="278"/>
      <c r="S21" s="127"/>
    </row>
    <row r="22" spans="1:19" ht="12.75">
      <c r="A22" s="268" t="s">
        <v>406</v>
      </c>
      <c r="B22" s="269" t="s">
        <v>407</v>
      </c>
      <c r="C22" s="278">
        <f t="shared" si="0"/>
        <v>18794530</v>
      </c>
      <c r="D22" s="278"/>
      <c r="E22" s="278"/>
      <c r="F22" s="278">
        <v>5000000</v>
      </c>
      <c r="G22" s="278"/>
      <c r="H22" s="278"/>
      <c r="I22" s="278"/>
      <c r="J22" s="278"/>
      <c r="K22" s="278"/>
      <c r="L22" s="278"/>
      <c r="M22" s="278">
        <v>13794530</v>
      </c>
      <c r="N22" s="278"/>
      <c r="O22" s="278"/>
      <c r="P22" s="278"/>
      <c r="Q22" s="278"/>
      <c r="R22" s="278"/>
      <c r="S22" s="127"/>
    </row>
    <row r="23" spans="1:19" ht="12.75">
      <c r="A23" s="268" t="s">
        <v>447</v>
      </c>
      <c r="B23" s="269" t="s">
        <v>448</v>
      </c>
      <c r="C23" s="278">
        <f t="shared" si="0"/>
        <v>2540000</v>
      </c>
      <c r="D23" s="278"/>
      <c r="E23" s="278"/>
      <c r="F23" s="278">
        <v>2540000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127"/>
    </row>
    <row r="24" spans="1:19" ht="12.75">
      <c r="A24" s="268" t="s">
        <v>449</v>
      </c>
      <c r="B24" s="269" t="s">
        <v>450</v>
      </c>
      <c r="C24" s="278">
        <f t="shared" si="0"/>
        <v>40000000</v>
      </c>
      <c r="D24" s="278"/>
      <c r="E24" s="278"/>
      <c r="F24" s="278">
        <f>25400000+14600000</f>
        <v>40000000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127"/>
    </row>
    <row r="25" spans="1:19" ht="12.75">
      <c r="A25" s="268" t="s">
        <v>451</v>
      </c>
      <c r="B25" s="269" t="s">
        <v>233</v>
      </c>
      <c r="C25" s="278">
        <f t="shared" si="0"/>
        <v>518104934</v>
      </c>
      <c r="D25" s="278"/>
      <c r="E25" s="278"/>
      <c r="F25" s="278">
        <f>111299580+29210000</f>
        <v>140509580</v>
      </c>
      <c r="G25" s="278"/>
      <c r="H25" s="278"/>
      <c r="I25" s="278"/>
      <c r="J25" s="278"/>
      <c r="K25" s="278"/>
      <c r="L25" s="278"/>
      <c r="M25" s="278">
        <v>377595354</v>
      </c>
      <c r="N25" s="278"/>
      <c r="O25" s="278"/>
      <c r="P25" s="278"/>
      <c r="Q25" s="278"/>
      <c r="R25" s="278"/>
      <c r="S25" s="127"/>
    </row>
    <row r="26" spans="1:19" ht="12.75">
      <c r="A26" s="268" t="s">
        <v>452</v>
      </c>
      <c r="B26" s="269" t="s">
        <v>234</v>
      </c>
      <c r="C26" s="278">
        <f t="shared" si="0"/>
        <v>10795000</v>
      </c>
      <c r="D26" s="278"/>
      <c r="E26" s="278"/>
      <c r="F26" s="278">
        <v>10795000</v>
      </c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127"/>
    </row>
    <row r="27" spans="1:19" ht="12.75">
      <c r="A27" s="268" t="s">
        <v>453</v>
      </c>
      <c r="B27" s="269" t="s">
        <v>235</v>
      </c>
      <c r="C27" s="278">
        <f t="shared" si="0"/>
        <v>119060000</v>
      </c>
      <c r="D27" s="278"/>
      <c r="E27" s="278"/>
      <c r="F27" s="278">
        <v>99060000</v>
      </c>
      <c r="G27" s="278"/>
      <c r="H27" s="278"/>
      <c r="I27" s="278"/>
      <c r="J27" s="278"/>
      <c r="K27" s="278"/>
      <c r="L27" s="278"/>
      <c r="M27" s="278">
        <v>20000000</v>
      </c>
      <c r="N27" s="278"/>
      <c r="O27" s="278"/>
      <c r="P27" s="278"/>
      <c r="Q27" s="278"/>
      <c r="R27" s="278"/>
      <c r="S27" s="127"/>
    </row>
    <row r="28" spans="1:19" ht="12.75">
      <c r="A28" s="268" t="s">
        <v>454</v>
      </c>
      <c r="B28" s="269" t="s">
        <v>236</v>
      </c>
      <c r="C28" s="278">
        <f t="shared" si="0"/>
        <v>268375545</v>
      </c>
      <c r="D28" s="278"/>
      <c r="E28" s="278"/>
      <c r="F28" s="278">
        <f>247650000-5000000-3000000</f>
        <v>239650000</v>
      </c>
      <c r="G28" s="278"/>
      <c r="H28" s="278"/>
      <c r="I28" s="278"/>
      <c r="J28" s="278"/>
      <c r="K28" s="278"/>
      <c r="L28" s="278"/>
      <c r="M28" s="278">
        <v>18725545</v>
      </c>
      <c r="N28" s="278">
        <v>10000000</v>
      </c>
      <c r="O28" s="278"/>
      <c r="P28" s="278"/>
      <c r="Q28" s="278"/>
      <c r="R28" s="278"/>
      <c r="S28" s="127"/>
    </row>
    <row r="29" spans="1:19" ht="12.75">
      <c r="A29" s="268" t="s">
        <v>455</v>
      </c>
      <c r="B29" s="269" t="s">
        <v>237</v>
      </c>
      <c r="C29" s="278">
        <f t="shared" si="0"/>
        <v>25182604</v>
      </c>
      <c r="D29" s="278">
        <v>4418320</v>
      </c>
      <c r="E29" s="278">
        <v>686640</v>
      </c>
      <c r="F29" s="278">
        <f>12192000+3000000</f>
        <v>15192000</v>
      </c>
      <c r="G29" s="278"/>
      <c r="H29" s="278"/>
      <c r="I29" s="278">
        <v>4885644</v>
      </c>
      <c r="J29" s="278"/>
      <c r="K29" s="278"/>
      <c r="L29" s="278"/>
      <c r="M29" s="278"/>
      <c r="N29" s="278"/>
      <c r="O29" s="278"/>
      <c r="P29" s="278"/>
      <c r="Q29" s="278"/>
      <c r="R29" s="278"/>
      <c r="S29" s="127"/>
    </row>
    <row r="30" spans="1:23" ht="12.75">
      <c r="A30" s="268" t="s">
        <v>456</v>
      </c>
      <c r="B30" s="269" t="s">
        <v>29</v>
      </c>
      <c r="C30" s="278">
        <f t="shared" si="0"/>
        <v>8142412</v>
      </c>
      <c r="D30" s="278"/>
      <c r="E30" s="278"/>
      <c r="F30" s="278">
        <f>5715000-152400</f>
        <v>5562600</v>
      </c>
      <c r="G30" s="278"/>
      <c r="H30" s="278"/>
      <c r="I30" s="278"/>
      <c r="J30" s="278"/>
      <c r="K30" s="278"/>
      <c r="L30" s="278"/>
      <c r="M30" s="278">
        <v>443550</v>
      </c>
      <c r="N30" s="278">
        <v>2136262</v>
      </c>
      <c r="O30" s="278"/>
      <c r="P30" s="278"/>
      <c r="Q30" s="278"/>
      <c r="R30" s="278"/>
      <c r="S30" s="127"/>
      <c r="W30" s="64"/>
    </row>
    <row r="31" spans="1:21" ht="12.75">
      <c r="A31" s="268" t="s">
        <v>457</v>
      </c>
      <c r="B31" s="269" t="s">
        <v>238</v>
      </c>
      <c r="C31" s="278">
        <f t="shared" si="0"/>
        <v>16372040</v>
      </c>
      <c r="D31" s="278"/>
      <c r="E31" s="278"/>
      <c r="F31" s="278"/>
      <c r="G31" s="278"/>
      <c r="H31" s="278"/>
      <c r="I31" s="278">
        <v>16372040</v>
      </c>
      <c r="J31" s="278"/>
      <c r="K31" s="278"/>
      <c r="L31" s="278"/>
      <c r="M31" s="278"/>
      <c r="N31" s="278"/>
      <c r="O31" s="278"/>
      <c r="P31" s="278"/>
      <c r="Q31" s="278"/>
      <c r="R31" s="278"/>
      <c r="S31" s="127"/>
      <c r="U31" s="64"/>
    </row>
    <row r="32" spans="1:19" ht="12.75">
      <c r="A32" s="268" t="s">
        <v>390</v>
      </c>
      <c r="B32" s="269" t="s">
        <v>239</v>
      </c>
      <c r="C32" s="278">
        <f t="shared" si="0"/>
        <v>358867431</v>
      </c>
      <c r="D32" s="278"/>
      <c r="E32" s="278"/>
      <c r="F32" s="278">
        <f>193195289+32243328</f>
        <v>225438617</v>
      </c>
      <c r="G32" s="278"/>
      <c r="H32" s="278"/>
      <c r="I32" s="278"/>
      <c r="J32" s="278"/>
      <c r="K32" s="278"/>
      <c r="L32" s="278"/>
      <c r="M32" s="278">
        <v>133428814</v>
      </c>
      <c r="N32" s="278"/>
      <c r="O32" s="278"/>
      <c r="P32" s="278"/>
      <c r="Q32" s="278"/>
      <c r="R32" s="278"/>
      <c r="S32" s="127"/>
    </row>
    <row r="33" spans="1:19" ht="12.75">
      <c r="A33" s="268" t="s">
        <v>458</v>
      </c>
      <c r="B33" s="269" t="s">
        <v>240</v>
      </c>
      <c r="C33" s="278">
        <f t="shared" si="0"/>
        <v>600000</v>
      </c>
      <c r="D33" s="278"/>
      <c r="E33" s="278"/>
      <c r="F33" s="278">
        <v>600000</v>
      </c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127"/>
    </row>
    <row r="34" spans="1:19" ht="12.75">
      <c r="A34" s="268" t="s">
        <v>728</v>
      </c>
      <c r="B34" s="269" t="s">
        <v>729</v>
      </c>
      <c r="C34" s="278">
        <f t="shared" si="0"/>
        <v>3000000</v>
      </c>
      <c r="D34" s="278"/>
      <c r="E34" s="278"/>
      <c r="F34" s="278">
        <v>3000000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127"/>
    </row>
    <row r="35" spans="1:19" ht="12.75">
      <c r="A35" s="268" t="s">
        <v>724</v>
      </c>
      <c r="B35" s="269" t="s">
        <v>725</v>
      </c>
      <c r="C35" s="278">
        <f t="shared" si="0"/>
        <v>3200000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>
        <v>3200000</v>
      </c>
      <c r="N35" s="278"/>
      <c r="O35" s="278"/>
      <c r="P35" s="278"/>
      <c r="Q35" s="278"/>
      <c r="R35" s="278"/>
      <c r="S35" s="127"/>
    </row>
    <row r="36" spans="1:19" ht="12.75">
      <c r="A36" s="268" t="s">
        <v>459</v>
      </c>
      <c r="B36" s="269" t="s">
        <v>254</v>
      </c>
      <c r="C36" s="278">
        <f t="shared" si="0"/>
        <v>0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127"/>
    </row>
    <row r="37" spans="1:22" ht="12.75">
      <c r="A37" s="268" t="s">
        <v>460</v>
      </c>
      <c r="B37" s="269" t="s">
        <v>242</v>
      </c>
      <c r="C37" s="278">
        <f t="shared" si="0"/>
        <v>106542845</v>
      </c>
      <c r="D37" s="278"/>
      <c r="E37" s="278"/>
      <c r="F37" s="278">
        <f>51206476+29686369</f>
        <v>80892845</v>
      </c>
      <c r="G37" s="278"/>
      <c r="H37" s="278"/>
      <c r="I37" s="278"/>
      <c r="J37" s="278"/>
      <c r="K37" s="278"/>
      <c r="L37" s="278"/>
      <c r="M37" s="278"/>
      <c r="N37" s="278">
        <v>25650000</v>
      </c>
      <c r="O37" s="278"/>
      <c r="P37" s="278"/>
      <c r="Q37" s="278"/>
      <c r="R37" s="278"/>
      <c r="S37" s="127"/>
      <c r="V37" s="131"/>
    </row>
    <row r="38" spans="1:22" ht="12.75">
      <c r="A38" s="268" t="s">
        <v>730</v>
      </c>
      <c r="B38" s="269" t="s">
        <v>245</v>
      </c>
      <c r="C38" s="278">
        <f t="shared" si="0"/>
        <v>152400</v>
      </c>
      <c r="D38" s="278"/>
      <c r="E38" s="278"/>
      <c r="F38" s="278">
        <v>152400</v>
      </c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127"/>
      <c r="V38" s="131"/>
    </row>
    <row r="39" spans="1:19" ht="12.75">
      <c r="A39" s="270">
        <v>104012</v>
      </c>
      <c r="B39" s="269" t="s">
        <v>243</v>
      </c>
      <c r="C39" s="278">
        <f t="shared" si="0"/>
        <v>750000</v>
      </c>
      <c r="D39" s="278"/>
      <c r="E39" s="278"/>
      <c r="F39" s="278"/>
      <c r="G39" s="278"/>
      <c r="H39" s="278"/>
      <c r="I39" s="278"/>
      <c r="J39" s="278">
        <v>750000</v>
      </c>
      <c r="K39" s="278"/>
      <c r="L39" s="278"/>
      <c r="M39" s="278"/>
      <c r="N39" s="278"/>
      <c r="O39" s="278"/>
      <c r="P39" s="278"/>
      <c r="Q39" s="278"/>
      <c r="R39" s="278"/>
      <c r="S39" s="127"/>
    </row>
    <row r="40" spans="1:19" ht="12.75">
      <c r="A40" s="270" t="s">
        <v>726</v>
      </c>
      <c r="B40" s="269" t="s">
        <v>244</v>
      </c>
      <c r="C40" s="278">
        <f t="shared" si="0"/>
        <v>40302908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>
        <v>40302908</v>
      </c>
      <c r="N40" s="278"/>
      <c r="O40" s="278"/>
      <c r="P40" s="278"/>
      <c r="Q40" s="278"/>
      <c r="R40" s="278"/>
      <c r="S40" s="127"/>
    </row>
    <row r="41" spans="1:22" ht="12.75">
      <c r="A41" s="268">
        <v>107013</v>
      </c>
      <c r="B41" s="269" t="s">
        <v>246</v>
      </c>
      <c r="C41" s="279">
        <f t="shared" si="0"/>
        <v>960000</v>
      </c>
      <c r="D41" s="278"/>
      <c r="E41" s="278"/>
      <c r="F41" s="278"/>
      <c r="G41" s="278"/>
      <c r="H41" s="278"/>
      <c r="I41" s="278"/>
      <c r="J41" s="278">
        <v>960000</v>
      </c>
      <c r="K41" s="278"/>
      <c r="L41" s="278"/>
      <c r="M41" s="278"/>
      <c r="N41" s="278"/>
      <c r="O41" s="278"/>
      <c r="P41" s="278"/>
      <c r="Q41" s="278"/>
      <c r="R41" s="278"/>
      <c r="S41" s="127"/>
      <c r="U41" s="64"/>
      <c r="V41" s="133"/>
    </row>
    <row r="42" spans="1:21" ht="12.75">
      <c r="A42" s="268">
        <v>107060</v>
      </c>
      <c r="B42" s="269" t="s">
        <v>247</v>
      </c>
      <c r="C42" s="278">
        <f t="shared" si="0"/>
        <v>2600000</v>
      </c>
      <c r="D42" s="278"/>
      <c r="E42" s="278"/>
      <c r="F42" s="278">
        <v>600000</v>
      </c>
      <c r="G42" s="278">
        <f>1000000+1000000</f>
        <v>2000000</v>
      </c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127"/>
      <c r="U42" s="64"/>
    </row>
    <row r="43" spans="1:20" s="289" customFormat="1" ht="12.75">
      <c r="A43" s="285"/>
      <c r="B43" s="286" t="s">
        <v>248</v>
      </c>
      <c r="C43" s="287">
        <f aca="true" t="shared" si="1" ref="C43:R43">SUM(C9:C42)</f>
        <v>3465299511</v>
      </c>
      <c r="D43" s="287">
        <f t="shared" si="1"/>
        <v>157055484</v>
      </c>
      <c r="E43" s="287">
        <f t="shared" si="1"/>
        <v>25070350</v>
      </c>
      <c r="F43" s="287">
        <f t="shared" si="1"/>
        <v>1260939372</v>
      </c>
      <c r="G43" s="287">
        <f t="shared" si="1"/>
        <v>2000000</v>
      </c>
      <c r="H43" s="287">
        <f t="shared" si="1"/>
        <v>526412895</v>
      </c>
      <c r="I43" s="287">
        <f t="shared" si="1"/>
        <v>34718684</v>
      </c>
      <c r="J43" s="287">
        <f t="shared" si="1"/>
        <v>4210000</v>
      </c>
      <c r="K43" s="287">
        <f t="shared" si="1"/>
        <v>2000000</v>
      </c>
      <c r="L43" s="287">
        <f t="shared" si="1"/>
        <v>21000000</v>
      </c>
      <c r="M43" s="287">
        <f t="shared" si="1"/>
        <v>1120935772</v>
      </c>
      <c r="N43" s="287">
        <f t="shared" si="1"/>
        <v>140776445</v>
      </c>
      <c r="O43" s="668">
        <f t="shared" si="1"/>
        <v>0</v>
      </c>
      <c r="P43" s="668">
        <f t="shared" si="1"/>
        <v>0</v>
      </c>
      <c r="Q43" s="287">
        <f t="shared" si="1"/>
        <v>76000000</v>
      </c>
      <c r="R43" s="287">
        <f t="shared" si="1"/>
        <v>94180509</v>
      </c>
      <c r="S43" s="288"/>
      <c r="T43" s="288"/>
    </row>
    <row r="44" spans="1:19" ht="12.75">
      <c r="A44" s="271"/>
      <c r="B44" s="271" t="s">
        <v>98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127"/>
    </row>
    <row r="45" spans="1:19" ht="12.75">
      <c r="A45" s="268" t="s">
        <v>21</v>
      </c>
      <c r="B45" s="269" t="s">
        <v>228</v>
      </c>
      <c r="C45" s="278">
        <f aca="true" t="shared" si="2" ref="C45:C73">SUM(D45:R45)</f>
        <v>16000000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>
        <v>16000000</v>
      </c>
      <c r="N45" s="265"/>
      <c r="O45" s="265"/>
      <c r="P45" s="265"/>
      <c r="Q45" s="265"/>
      <c r="R45" s="265"/>
      <c r="S45" s="127"/>
    </row>
    <row r="46" spans="1:19" ht="12.75">
      <c r="A46" s="268" t="s">
        <v>442</v>
      </c>
      <c r="B46" s="269" t="s">
        <v>249</v>
      </c>
      <c r="C46" s="278">
        <f t="shared" si="2"/>
        <v>2632245</v>
      </c>
      <c r="D46" s="265">
        <v>2310000</v>
      </c>
      <c r="E46" s="265">
        <v>322245</v>
      </c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127"/>
    </row>
    <row r="47" spans="1:19" ht="12.75">
      <c r="A47" s="268" t="s">
        <v>619</v>
      </c>
      <c r="B47" s="269" t="s">
        <v>620</v>
      </c>
      <c r="C47" s="278">
        <f t="shared" si="2"/>
        <v>80000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>
        <v>80000</v>
      </c>
      <c r="P47" s="265"/>
      <c r="Q47" s="265"/>
      <c r="R47" s="265"/>
      <c r="S47" s="127"/>
    </row>
    <row r="48" spans="1:19" ht="12.75">
      <c r="A48" s="268" t="s">
        <v>732</v>
      </c>
      <c r="B48" s="269" t="s">
        <v>733</v>
      </c>
      <c r="C48" s="278">
        <f t="shared" si="2"/>
        <v>3200</v>
      </c>
      <c r="D48" s="265"/>
      <c r="E48" s="265"/>
      <c r="F48" s="265">
        <v>3200</v>
      </c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127"/>
    </row>
    <row r="49" spans="1:19" ht="12.75">
      <c r="A49" s="268" t="s">
        <v>454</v>
      </c>
      <c r="B49" s="269" t="s">
        <v>236</v>
      </c>
      <c r="C49" s="278">
        <f t="shared" si="2"/>
        <v>49688713</v>
      </c>
      <c r="D49" s="278">
        <v>8502600</v>
      </c>
      <c r="E49" s="278">
        <v>1186113</v>
      </c>
      <c r="F49" s="278"/>
      <c r="G49" s="278"/>
      <c r="H49" s="278"/>
      <c r="I49" s="278"/>
      <c r="J49" s="278"/>
      <c r="K49" s="278"/>
      <c r="L49" s="278"/>
      <c r="M49" s="278">
        <v>40000000</v>
      </c>
      <c r="N49" s="278"/>
      <c r="O49" s="278"/>
      <c r="P49" s="278"/>
      <c r="Q49" s="278"/>
      <c r="R49" s="278"/>
      <c r="S49" s="127"/>
    </row>
    <row r="50" spans="1:19" ht="12.75">
      <c r="A50" s="268" t="s">
        <v>455</v>
      </c>
      <c r="B50" s="269" t="s">
        <v>237</v>
      </c>
      <c r="C50" s="279">
        <f t="shared" si="2"/>
        <v>54317900</v>
      </c>
      <c r="D50" s="278"/>
      <c r="E50" s="278"/>
      <c r="F50" s="278">
        <v>54317900</v>
      </c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9"/>
      <c r="R50" s="279"/>
      <c r="S50" s="124"/>
    </row>
    <row r="51" spans="1:19" ht="12.75">
      <c r="A51" s="268" t="s">
        <v>30</v>
      </c>
      <c r="B51" s="269" t="s">
        <v>250</v>
      </c>
      <c r="C51" s="279">
        <f t="shared" si="2"/>
        <v>83394579</v>
      </c>
      <c r="D51" s="278"/>
      <c r="E51" s="278"/>
      <c r="F51" s="278"/>
      <c r="G51" s="278"/>
      <c r="H51" s="278"/>
      <c r="I51" s="278"/>
      <c r="J51" s="278">
        <f>2420000+180000</f>
        <v>2600000</v>
      </c>
      <c r="K51" s="278"/>
      <c r="L51" s="278"/>
      <c r="M51" s="278">
        <v>28986492</v>
      </c>
      <c r="N51" s="278"/>
      <c r="O51" s="278"/>
      <c r="P51" s="278">
        <f>9745404+42062683</f>
        <v>51808087</v>
      </c>
      <c r="Q51" s="279"/>
      <c r="R51" s="279"/>
      <c r="S51" s="124"/>
    </row>
    <row r="52" spans="1:21" ht="12.75">
      <c r="A52" s="268" t="s">
        <v>461</v>
      </c>
      <c r="B52" s="272" t="s">
        <v>251</v>
      </c>
      <c r="C52" s="279">
        <f t="shared" si="2"/>
        <v>80100000</v>
      </c>
      <c r="D52" s="278"/>
      <c r="E52" s="278"/>
      <c r="F52" s="278"/>
      <c r="G52" s="278"/>
      <c r="H52" s="278"/>
      <c r="I52" s="278"/>
      <c r="J52" s="278">
        <v>80100000</v>
      </c>
      <c r="K52" s="278"/>
      <c r="L52" s="278"/>
      <c r="M52" s="278"/>
      <c r="N52" s="278"/>
      <c r="O52" s="278"/>
      <c r="P52" s="278"/>
      <c r="Q52" s="279"/>
      <c r="R52" s="279"/>
      <c r="S52" s="124"/>
      <c r="U52" s="64"/>
    </row>
    <row r="53" spans="1:19" ht="12.75">
      <c r="A53" s="268" t="s">
        <v>462</v>
      </c>
      <c r="B53" s="269" t="s">
        <v>241</v>
      </c>
      <c r="C53" s="278">
        <f t="shared" si="2"/>
        <v>2000000</v>
      </c>
      <c r="D53" s="278"/>
      <c r="E53" s="278"/>
      <c r="F53" s="278"/>
      <c r="G53" s="278"/>
      <c r="H53" s="278"/>
      <c r="I53" s="278"/>
      <c r="J53" s="278">
        <v>2000000</v>
      </c>
      <c r="K53" s="278"/>
      <c r="L53" s="278"/>
      <c r="M53" s="278"/>
      <c r="N53" s="278"/>
      <c r="O53" s="278"/>
      <c r="P53" s="278"/>
      <c r="Q53" s="278"/>
      <c r="R53" s="278"/>
      <c r="S53" s="127"/>
    </row>
    <row r="54" spans="1:19" ht="12.75">
      <c r="A54" s="268" t="s">
        <v>463</v>
      </c>
      <c r="B54" s="269" t="s">
        <v>252</v>
      </c>
      <c r="C54" s="279">
        <f t="shared" si="2"/>
        <v>2780000</v>
      </c>
      <c r="D54" s="278"/>
      <c r="E54" s="278"/>
      <c r="F54" s="278"/>
      <c r="G54" s="278"/>
      <c r="H54" s="278"/>
      <c r="I54" s="278"/>
      <c r="J54" s="278">
        <f>2530000+250000</f>
        <v>2780000</v>
      </c>
      <c r="K54" s="278"/>
      <c r="L54" s="278"/>
      <c r="M54" s="278"/>
      <c r="N54" s="278"/>
      <c r="O54" s="278"/>
      <c r="P54" s="278"/>
      <c r="Q54" s="279"/>
      <c r="R54" s="279"/>
      <c r="S54" s="124"/>
    </row>
    <row r="55" spans="1:19" ht="12.75">
      <c r="A55" s="268" t="s">
        <v>479</v>
      </c>
      <c r="B55" s="269" t="s">
        <v>404</v>
      </c>
      <c r="C55" s="279">
        <f t="shared" si="2"/>
        <v>125087274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>
        <v>125087274</v>
      </c>
      <c r="N55" s="278"/>
      <c r="O55" s="278"/>
      <c r="P55" s="278"/>
      <c r="Q55" s="278"/>
      <c r="R55" s="278"/>
      <c r="S55" s="127"/>
    </row>
    <row r="56" spans="1:19" ht="12.75">
      <c r="A56" s="268" t="s">
        <v>464</v>
      </c>
      <c r="B56" s="269" t="s">
        <v>465</v>
      </c>
      <c r="C56" s="279">
        <f t="shared" si="2"/>
        <v>13428980</v>
      </c>
      <c r="D56" s="278"/>
      <c r="E56" s="278"/>
      <c r="F56" s="278">
        <v>13428980</v>
      </c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9"/>
      <c r="R56" s="279"/>
      <c r="S56" s="124"/>
    </row>
    <row r="57" spans="1:19" ht="12.75">
      <c r="A57" s="268" t="s">
        <v>466</v>
      </c>
      <c r="B57" s="269" t="s">
        <v>253</v>
      </c>
      <c r="C57" s="279">
        <f t="shared" si="2"/>
        <v>200000</v>
      </c>
      <c r="D57" s="278"/>
      <c r="E57" s="278"/>
      <c r="F57" s="278"/>
      <c r="G57" s="278"/>
      <c r="H57" s="278"/>
      <c r="I57" s="278">
        <v>200000</v>
      </c>
      <c r="J57" s="278"/>
      <c r="K57" s="278"/>
      <c r="L57" s="278"/>
      <c r="M57" s="278"/>
      <c r="N57" s="278"/>
      <c r="O57" s="278"/>
      <c r="P57" s="278"/>
      <c r="Q57" s="279"/>
      <c r="R57" s="279"/>
      <c r="S57" s="124"/>
    </row>
    <row r="58" spans="1:19" ht="12.75">
      <c r="A58" s="268" t="s">
        <v>459</v>
      </c>
      <c r="B58" s="269" t="s">
        <v>254</v>
      </c>
      <c r="C58" s="279">
        <f t="shared" si="2"/>
        <v>94964000</v>
      </c>
      <c r="D58" s="278">
        <v>5000000</v>
      </c>
      <c r="E58" s="278">
        <v>775000</v>
      </c>
      <c r="F58" s="278">
        <f>89789000-14600000-2000000</f>
        <v>73189000</v>
      </c>
      <c r="G58" s="278"/>
      <c r="H58" s="278"/>
      <c r="I58" s="278"/>
      <c r="J58" s="278">
        <v>16000000</v>
      </c>
      <c r="K58" s="278"/>
      <c r="L58" s="278"/>
      <c r="M58" s="278"/>
      <c r="N58" s="278"/>
      <c r="O58" s="278"/>
      <c r="P58" s="278"/>
      <c r="Q58" s="279"/>
      <c r="R58" s="279"/>
      <c r="S58" s="124"/>
    </row>
    <row r="59" spans="1:19" ht="12.75">
      <c r="A59" s="268" t="s">
        <v>467</v>
      </c>
      <c r="B59" s="269" t="s">
        <v>255</v>
      </c>
      <c r="C59" s="279">
        <f t="shared" si="2"/>
        <v>14675000</v>
      </c>
      <c r="D59" s="278"/>
      <c r="E59" s="278"/>
      <c r="F59" s="278"/>
      <c r="G59" s="278"/>
      <c r="H59" s="278"/>
      <c r="I59" s="278"/>
      <c r="J59" s="278">
        <v>14675000</v>
      </c>
      <c r="K59" s="278"/>
      <c r="L59" s="278"/>
      <c r="M59" s="278"/>
      <c r="N59" s="278"/>
      <c r="O59" s="278"/>
      <c r="P59" s="278"/>
      <c r="Q59" s="279"/>
      <c r="R59" s="279"/>
      <c r="S59" s="124"/>
    </row>
    <row r="60" spans="1:21" ht="12.75">
      <c r="A60" s="268" t="s">
        <v>468</v>
      </c>
      <c r="B60" s="269" t="s">
        <v>256</v>
      </c>
      <c r="C60" s="279">
        <f t="shared" si="2"/>
        <v>7950000</v>
      </c>
      <c r="D60" s="278"/>
      <c r="E60" s="278"/>
      <c r="F60" s="278"/>
      <c r="G60" s="278"/>
      <c r="H60" s="278"/>
      <c r="I60" s="278"/>
      <c r="J60" s="278">
        <v>7950000</v>
      </c>
      <c r="K60" s="278"/>
      <c r="L60" s="278"/>
      <c r="M60" s="278"/>
      <c r="N60" s="278"/>
      <c r="O60" s="278"/>
      <c r="P60" s="278"/>
      <c r="Q60" s="279"/>
      <c r="R60" s="279"/>
      <c r="S60" s="124"/>
      <c r="U60" s="131"/>
    </row>
    <row r="61" spans="1:19" ht="12.75">
      <c r="A61" s="268" t="s">
        <v>469</v>
      </c>
      <c r="B61" s="269" t="s">
        <v>257</v>
      </c>
      <c r="C61" s="279">
        <f t="shared" si="2"/>
        <v>4000000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>
        <v>4000000</v>
      </c>
      <c r="Q61" s="279"/>
      <c r="R61" s="279"/>
      <c r="S61" s="124"/>
    </row>
    <row r="62" spans="1:19" ht="12.75">
      <c r="A62" s="268" t="s">
        <v>734</v>
      </c>
      <c r="B62" s="269" t="s">
        <v>735</v>
      </c>
      <c r="C62" s="279">
        <f t="shared" si="2"/>
        <v>2000000</v>
      </c>
      <c r="D62" s="278"/>
      <c r="E62" s="278"/>
      <c r="F62" s="278">
        <v>2000000</v>
      </c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9"/>
      <c r="R62" s="279"/>
      <c r="S62" s="124"/>
    </row>
    <row r="63" spans="1:19" ht="12.75">
      <c r="A63" s="268" t="s">
        <v>470</v>
      </c>
      <c r="B63" s="269" t="s">
        <v>258</v>
      </c>
      <c r="C63" s="279">
        <f t="shared" si="2"/>
        <v>7400800</v>
      </c>
      <c r="D63" s="278"/>
      <c r="E63" s="278"/>
      <c r="F63" s="278">
        <v>6400800</v>
      </c>
      <c r="G63" s="278"/>
      <c r="H63" s="278"/>
      <c r="I63" s="278">
        <v>1000000</v>
      </c>
      <c r="J63" s="278"/>
      <c r="K63" s="278"/>
      <c r="L63" s="278"/>
      <c r="M63" s="278"/>
      <c r="N63" s="278"/>
      <c r="O63" s="278"/>
      <c r="P63" s="278"/>
      <c r="Q63" s="279"/>
      <c r="R63" s="279"/>
      <c r="S63" s="124"/>
    </row>
    <row r="64" spans="1:19" ht="12.75">
      <c r="A64" s="268" t="s">
        <v>460</v>
      </c>
      <c r="B64" s="269" t="s">
        <v>471</v>
      </c>
      <c r="C64" s="279">
        <f t="shared" si="2"/>
        <v>1230000</v>
      </c>
      <c r="D64" s="278"/>
      <c r="E64" s="278"/>
      <c r="F64" s="278">
        <v>500000</v>
      </c>
      <c r="G64" s="278"/>
      <c r="H64" s="278"/>
      <c r="I64" s="278">
        <v>730000</v>
      </c>
      <c r="J64" s="278"/>
      <c r="K64" s="278"/>
      <c r="L64" s="278"/>
      <c r="M64" s="278"/>
      <c r="N64" s="278"/>
      <c r="O64" s="278"/>
      <c r="P64" s="278"/>
      <c r="Q64" s="279"/>
      <c r="R64" s="279"/>
      <c r="S64" s="124"/>
    </row>
    <row r="65" spans="1:21" ht="12.75">
      <c r="A65" s="268" t="s">
        <v>472</v>
      </c>
      <c r="B65" s="269" t="s">
        <v>473</v>
      </c>
      <c r="C65" s="279">
        <f t="shared" si="2"/>
        <v>1817500</v>
      </c>
      <c r="D65" s="278"/>
      <c r="E65" s="278"/>
      <c r="F65" s="278">
        <f>317500+1500000</f>
        <v>1817500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127"/>
      <c r="U65" s="64"/>
    </row>
    <row r="66" spans="1:19" ht="12.75">
      <c r="A66" s="268" t="s">
        <v>474</v>
      </c>
      <c r="B66" s="269" t="s">
        <v>475</v>
      </c>
      <c r="C66" s="279">
        <f t="shared" si="2"/>
        <v>127000</v>
      </c>
      <c r="D66" s="278"/>
      <c r="E66" s="278"/>
      <c r="F66" s="278">
        <v>127000</v>
      </c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127"/>
    </row>
    <row r="67" spans="1:19" ht="12.75">
      <c r="A67" s="268" t="s">
        <v>476</v>
      </c>
      <c r="B67" s="269" t="s">
        <v>477</v>
      </c>
      <c r="C67" s="279">
        <f t="shared" si="2"/>
        <v>317500</v>
      </c>
      <c r="D67" s="278"/>
      <c r="E67" s="278"/>
      <c r="F67" s="278">
        <v>317500</v>
      </c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127"/>
    </row>
    <row r="68" spans="1:19" ht="24">
      <c r="A68" s="268" t="s">
        <v>478</v>
      </c>
      <c r="B68" s="273" t="s">
        <v>403</v>
      </c>
      <c r="C68" s="279">
        <f t="shared" si="2"/>
        <v>1189200793</v>
      </c>
      <c r="D68" s="278"/>
      <c r="E68" s="278"/>
      <c r="F68" s="278">
        <f>127000+5657850</f>
        <v>5784850</v>
      </c>
      <c r="G68" s="278"/>
      <c r="H68" s="278"/>
      <c r="I68" s="278"/>
      <c r="J68" s="278"/>
      <c r="K68" s="278"/>
      <c r="L68" s="278"/>
      <c r="M68" s="278">
        <v>1183415943</v>
      </c>
      <c r="N68" s="278"/>
      <c r="O68" s="278"/>
      <c r="P68" s="278"/>
      <c r="Q68" s="278"/>
      <c r="R68" s="278"/>
      <c r="S68" s="127"/>
    </row>
    <row r="69" spans="1:19" ht="12.75">
      <c r="A69" s="268" t="s">
        <v>480</v>
      </c>
      <c r="B69" s="269" t="s">
        <v>481</v>
      </c>
      <c r="C69" s="279">
        <f t="shared" si="2"/>
        <v>127000</v>
      </c>
      <c r="D69" s="278"/>
      <c r="E69" s="278"/>
      <c r="F69" s="278">
        <v>127000</v>
      </c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127"/>
    </row>
    <row r="70" spans="1:19" ht="12.75">
      <c r="A70" s="132" t="s">
        <v>484</v>
      </c>
      <c r="B70" s="267" t="s">
        <v>485</v>
      </c>
      <c r="C70" s="278">
        <f t="shared" si="2"/>
        <v>92447342</v>
      </c>
      <c r="D70" s="278"/>
      <c r="E70" s="278"/>
      <c r="F70" s="278">
        <v>92447342</v>
      </c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127"/>
    </row>
    <row r="71" spans="1:19" ht="12.75">
      <c r="A71" s="270">
        <v>104031</v>
      </c>
      <c r="B71" s="269" t="s">
        <v>244</v>
      </c>
      <c r="C71" s="279">
        <f t="shared" si="2"/>
        <v>190000</v>
      </c>
      <c r="D71" s="278"/>
      <c r="E71" s="278"/>
      <c r="F71" s="278"/>
      <c r="G71" s="278"/>
      <c r="H71" s="278"/>
      <c r="I71" s="278">
        <v>190000</v>
      </c>
      <c r="J71" s="278"/>
      <c r="K71" s="278"/>
      <c r="L71" s="278"/>
      <c r="M71" s="278"/>
      <c r="N71" s="278"/>
      <c r="O71" s="278"/>
      <c r="P71" s="278"/>
      <c r="Q71" s="278"/>
      <c r="R71" s="278"/>
      <c r="S71" s="127"/>
    </row>
    <row r="72" spans="1:19" ht="12.75">
      <c r="A72" s="270">
        <v>104043</v>
      </c>
      <c r="B72" s="269" t="s">
        <v>245</v>
      </c>
      <c r="C72" s="279">
        <f t="shared" si="2"/>
        <v>100000</v>
      </c>
      <c r="D72" s="278"/>
      <c r="E72" s="278"/>
      <c r="F72" s="278"/>
      <c r="G72" s="278"/>
      <c r="H72" s="278"/>
      <c r="I72" s="278">
        <v>100000</v>
      </c>
      <c r="J72" s="278"/>
      <c r="K72" s="278"/>
      <c r="L72" s="278"/>
      <c r="M72" s="278"/>
      <c r="N72" s="278"/>
      <c r="O72" s="278"/>
      <c r="P72" s="278"/>
      <c r="Q72" s="278"/>
      <c r="R72" s="278"/>
      <c r="S72" s="127"/>
    </row>
    <row r="73" spans="1:21" ht="12.75">
      <c r="A73" s="268">
        <v>107060</v>
      </c>
      <c r="B73" s="269" t="s">
        <v>247</v>
      </c>
      <c r="C73" s="279">
        <f t="shared" si="2"/>
        <v>35731285</v>
      </c>
      <c r="D73" s="278"/>
      <c r="E73" s="278"/>
      <c r="F73" s="278">
        <f>29331285-600000-1500000-500000</f>
        <v>26731285</v>
      </c>
      <c r="G73" s="278">
        <f>10000000-1000000</f>
        <v>9000000</v>
      </c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127"/>
      <c r="T73" s="60"/>
      <c r="U73" s="60"/>
    </row>
    <row r="74" spans="1:23" s="239" customFormat="1" ht="12.75">
      <c r="A74" s="271"/>
      <c r="B74" s="290" t="s">
        <v>259</v>
      </c>
      <c r="C74" s="291">
        <f aca="true" t="shared" si="3" ref="C74:N74">SUM(C44:C73)</f>
        <v>1881991111</v>
      </c>
      <c r="D74" s="291">
        <f t="shared" si="3"/>
        <v>15812600</v>
      </c>
      <c r="E74" s="291">
        <f t="shared" si="3"/>
        <v>2283358</v>
      </c>
      <c r="F74" s="291">
        <f t="shared" si="3"/>
        <v>277192357</v>
      </c>
      <c r="G74" s="291">
        <f t="shared" si="3"/>
        <v>9000000</v>
      </c>
      <c r="H74" s="669">
        <v>0</v>
      </c>
      <c r="I74" s="291">
        <f t="shared" si="3"/>
        <v>2220000</v>
      </c>
      <c r="J74" s="291">
        <f t="shared" si="3"/>
        <v>126105000</v>
      </c>
      <c r="K74" s="669">
        <f t="shared" si="3"/>
        <v>0</v>
      </c>
      <c r="L74" s="669">
        <f t="shared" si="3"/>
        <v>0</v>
      </c>
      <c r="M74" s="291">
        <f t="shared" si="3"/>
        <v>1393489709</v>
      </c>
      <c r="N74" s="669">
        <f t="shared" si="3"/>
        <v>0</v>
      </c>
      <c r="O74" s="291">
        <f>SUM(O44:O73)</f>
        <v>80000</v>
      </c>
      <c r="P74" s="291">
        <f>SUM(P49:P73)</f>
        <v>55808087</v>
      </c>
      <c r="Q74" s="669">
        <f>SUM(Q49:Q73)</f>
        <v>0</v>
      </c>
      <c r="R74" s="668">
        <f>SUM(R49:R73)</f>
        <v>0</v>
      </c>
      <c r="S74" s="671"/>
      <c r="T74" s="672"/>
      <c r="U74" s="673"/>
      <c r="V74" s="673"/>
      <c r="W74" s="673"/>
    </row>
    <row r="75" spans="1:21" s="275" customFormat="1" ht="14.25" customHeight="1">
      <c r="A75" s="774" t="s">
        <v>36</v>
      </c>
      <c r="B75" s="775"/>
      <c r="C75" s="670">
        <f>SUM(D75:R75)</f>
        <v>5347290622</v>
      </c>
      <c r="D75" s="670">
        <f aca="true" t="shared" si="4" ref="D75:R75">SUM(D43+D74)</f>
        <v>172868084</v>
      </c>
      <c r="E75" s="670">
        <f t="shared" si="4"/>
        <v>27353708</v>
      </c>
      <c r="F75" s="670">
        <f t="shared" si="4"/>
        <v>1538131729</v>
      </c>
      <c r="G75" s="670">
        <f t="shared" si="4"/>
        <v>11000000</v>
      </c>
      <c r="H75" s="670">
        <f t="shared" si="4"/>
        <v>526412895</v>
      </c>
      <c r="I75" s="670">
        <f t="shared" si="4"/>
        <v>36938684</v>
      </c>
      <c r="J75" s="670">
        <f t="shared" si="4"/>
        <v>130315000</v>
      </c>
      <c r="K75" s="670">
        <f t="shared" si="4"/>
        <v>2000000</v>
      </c>
      <c r="L75" s="670">
        <f t="shared" si="4"/>
        <v>21000000</v>
      </c>
      <c r="M75" s="670">
        <f t="shared" si="4"/>
        <v>2514425481</v>
      </c>
      <c r="N75" s="670">
        <f t="shared" si="4"/>
        <v>140776445</v>
      </c>
      <c r="O75" s="670">
        <f t="shared" si="4"/>
        <v>80000</v>
      </c>
      <c r="P75" s="670">
        <f t="shared" si="4"/>
        <v>55808087</v>
      </c>
      <c r="Q75" s="670">
        <f t="shared" si="4"/>
        <v>76000000</v>
      </c>
      <c r="R75" s="670">
        <f t="shared" si="4"/>
        <v>94180509</v>
      </c>
      <c r="S75" s="127"/>
      <c r="T75" s="134"/>
      <c r="U75" s="274"/>
    </row>
    <row r="76" spans="1:21" s="275" customFormat="1" ht="17.25" customHeight="1">
      <c r="A76" s="776" t="s">
        <v>564</v>
      </c>
      <c r="B76" s="777"/>
      <c r="C76" s="280">
        <f>SUM(D76:R76)</f>
        <v>3058185844</v>
      </c>
      <c r="D76" s="280">
        <f>+'7.sz.int.kiad.  '!D13</f>
        <v>1755752657</v>
      </c>
      <c r="E76" s="280">
        <f>+'7.sz.int.kiad.  '!E13</f>
        <v>292303247</v>
      </c>
      <c r="F76" s="280">
        <f>+'7.sz.int.kiad.  '!F13</f>
        <v>976958940</v>
      </c>
      <c r="G76" s="674">
        <v>0</v>
      </c>
      <c r="H76" s="674">
        <v>0</v>
      </c>
      <c r="I76" s="674">
        <v>0</v>
      </c>
      <c r="J76" s="674">
        <v>0</v>
      </c>
      <c r="K76" s="674">
        <v>0</v>
      </c>
      <c r="L76" s="674">
        <v>0</v>
      </c>
      <c r="M76" s="280">
        <f>+'7.sz.int.kiad.  '!H13</f>
        <v>33171000</v>
      </c>
      <c r="N76" s="674">
        <v>0</v>
      </c>
      <c r="O76" s="674">
        <v>0</v>
      </c>
      <c r="P76" s="674">
        <v>0</v>
      </c>
      <c r="Q76" s="674">
        <v>0</v>
      </c>
      <c r="R76" s="674">
        <v>0</v>
      </c>
      <c r="S76" s="127"/>
      <c r="T76" s="134"/>
      <c r="U76" s="274"/>
    </row>
    <row r="77" spans="1:21" s="275" customFormat="1" ht="14.25" customHeight="1" thickBot="1">
      <c r="A77" s="778" t="s">
        <v>565</v>
      </c>
      <c r="B77" s="779"/>
      <c r="C77" s="292">
        <v>0</v>
      </c>
      <c r="D77" s="292">
        <v>0</v>
      </c>
      <c r="E77" s="292">
        <v>0</v>
      </c>
      <c r="F77" s="292">
        <v>0</v>
      </c>
      <c r="G77" s="292">
        <v>0</v>
      </c>
      <c r="H77" s="292"/>
      <c r="I77" s="292">
        <v>0</v>
      </c>
      <c r="J77" s="292">
        <v>0</v>
      </c>
      <c r="K77" s="292">
        <v>0</v>
      </c>
      <c r="L77" s="292">
        <v>0</v>
      </c>
      <c r="M77" s="292">
        <v>0</v>
      </c>
      <c r="N77" s="292">
        <v>0</v>
      </c>
      <c r="O77" s="292">
        <v>0</v>
      </c>
      <c r="P77" s="292">
        <v>0</v>
      </c>
      <c r="Q77" s="292">
        <v>0</v>
      </c>
      <c r="R77" s="293">
        <v>0</v>
      </c>
      <c r="S77" s="127"/>
      <c r="T77" s="61"/>
      <c r="U77" s="61"/>
    </row>
    <row r="78" spans="1:21" s="277" customFormat="1" ht="19.5" customHeight="1" thickBot="1" thickTop="1">
      <c r="A78" s="780" t="s">
        <v>40</v>
      </c>
      <c r="B78" s="781"/>
      <c r="C78" s="294">
        <f>SUM(C75:C76)</f>
        <v>8405476466</v>
      </c>
      <c r="D78" s="294">
        <f aca="true" t="shared" si="5" ref="D78:R78">SUM(D75:D76)</f>
        <v>1928620741</v>
      </c>
      <c r="E78" s="294">
        <f t="shared" si="5"/>
        <v>319656955</v>
      </c>
      <c r="F78" s="294">
        <f t="shared" si="5"/>
        <v>2515090669</v>
      </c>
      <c r="G78" s="294">
        <f>SUM(G75:G76)</f>
        <v>11000000</v>
      </c>
      <c r="H78" s="294">
        <f>SUM(H75:H76)</f>
        <v>526412895</v>
      </c>
      <c r="I78" s="294">
        <f t="shared" si="5"/>
        <v>36938684</v>
      </c>
      <c r="J78" s="294">
        <f t="shared" si="5"/>
        <v>130315000</v>
      </c>
      <c r="K78" s="294">
        <f t="shared" si="5"/>
        <v>2000000</v>
      </c>
      <c r="L78" s="294">
        <f t="shared" si="5"/>
        <v>21000000</v>
      </c>
      <c r="M78" s="294">
        <f t="shared" si="5"/>
        <v>2547596481</v>
      </c>
      <c r="N78" s="294">
        <f t="shared" si="5"/>
        <v>140776445</v>
      </c>
      <c r="O78" s="294">
        <f t="shared" si="5"/>
        <v>80000</v>
      </c>
      <c r="P78" s="294">
        <f t="shared" si="5"/>
        <v>55808087</v>
      </c>
      <c r="Q78" s="294">
        <f t="shared" si="5"/>
        <v>76000000</v>
      </c>
      <c r="R78" s="675">
        <f t="shared" si="5"/>
        <v>94180509</v>
      </c>
      <c r="S78" s="127"/>
      <c r="T78" s="276"/>
      <c r="U78" s="125"/>
    </row>
    <row r="79" spans="1:21" ht="13.5" thickTop="1">
      <c r="A79" s="50"/>
      <c r="B79" s="62"/>
      <c r="C79" s="618"/>
      <c r="D79" s="51"/>
      <c r="E79" s="51"/>
      <c r="F79" s="51"/>
      <c r="G79" s="62"/>
      <c r="H79" s="62"/>
      <c r="I79" s="62"/>
      <c r="J79" s="62"/>
      <c r="K79" s="51"/>
      <c r="L79" s="51"/>
      <c r="M79" s="51"/>
      <c r="N79" s="62"/>
      <c r="O79" s="51"/>
      <c r="P79" s="62"/>
      <c r="Q79" s="51"/>
      <c r="R79" s="51"/>
      <c r="S79" s="51"/>
      <c r="T79" s="54"/>
      <c r="U79" s="126"/>
    </row>
    <row r="80" spans="1:21" ht="12.75">
      <c r="A80" s="50"/>
      <c r="B80" s="51"/>
      <c r="C80" s="618"/>
      <c r="D80" s="62"/>
      <c r="E80" s="62"/>
      <c r="F80" s="62"/>
      <c r="G80" s="51"/>
      <c r="H80" s="51"/>
      <c r="I80" s="62"/>
      <c r="J80" s="51"/>
      <c r="K80" s="51"/>
      <c r="L80" s="51"/>
      <c r="M80" s="62"/>
      <c r="N80" s="51"/>
      <c r="O80" s="51"/>
      <c r="P80" s="51"/>
      <c r="Q80" s="63"/>
      <c r="R80" s="51"/>
      <c r="S80" s="51"/>
      <c r="T80" s="51"/>
      <c r="U80" s="64"/>
    </row>
    <row r="81" spans="1:20" ht="12.7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1:20" ht="12.7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1:20" ht="12.7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1:20" ht="12.75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ht="12.75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ht="12.75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ht="12.75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ht="12.75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</row>
    <row r="89" spans="1:20" ht="12.7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spans="1:20" ht="12.75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ht="12.75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ht="12.75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12.75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ht="12.7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1:20" ht="12.75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1:20" ht="12.75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1:20" ht="12.7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1:20" ht="12.7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2.7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ht="12.75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1:20" ht="12.7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12.75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0" ht="12.75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ht="12.75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ht="12.7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12.75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2.7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</row>
    <row r="111" spans="1:20" ht="12.75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</row>
    <row r="112" spans="1:20" ht="12.75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</row>
  </sheetData>
  <sheetProtection/>
  <mergeCells count="13">
    <mergeCell ref="R5:R6"/>
    <mergeCell ref="D5:L5"/>
    <mergeCell ref="M5:Q5"/>
    <mergeCell ref="A75:B75"/>
    <mergeCell ref="A76:B76"/>
    <mergeCell ref="A77:B77"/>
    <mergeCell ref="A78:B78"/>
    <mergeCell ref="A4:R4"/>
    <mergeCell ref="A2:R2"/>
    <mergeCell ref="A3:R3"/>
    <mergeCell ref="A5:A6"/>
    <mergeCell ref="B5:B6"/>
    <mergeCell ref="C5:C6"/>
  </mergeCells>
  <printOptions horizontalCentered="1" verticalCentered="1"/>
  <pageMargins left="0" right="0" top="0.35433070866141736" bottom="0.31496062992125984" header="0.15748031496062992" footer="0.35433070866141736"/>
  <pageSetup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"/>
  <sheetViews>
    <sheetView zoomScale="80" zoomScaleNormal="80" workbookViewId="0" topLeftCell="A1">
      <selection activeCell="O24" sqref="O24:Q24"/>
    </sheetView>
  </sheetViews>
  <sheetFormatPr defaultColWidth="9.00390625" defaultRowHeight="12.75"/>
  <cols>
    <col min="1" max="1" width="12.75390625" style="1" customWidth="1"/>
    <col min="2" max="2" width="72.375" style="1" customWidth="1"/>
    <col min="3" max="3" width="19.00390625" style="1" customWidth="1"/>
    <col min="4" max="5" width="19.25390625" style="1" customWidth="1"/>
    <col min="6" max="7" width="15.375" style="1" customWidth="1"/>
    <col min="8" max="8" width="12.75390625" style="1" bestFit="1" customWidth="1"/>
    <col min="9" max="9" width="15.75390625" style="1" customWidth="1"/>
    <col min="10" max="10" width="16.375" style="1" customWidth="1"/>
    <col min="11" max="11" width="13.375" style="1" customWidth="1"/>
    <col min="12" max="12" width="14.875" style="1" customWidth="1"/>
    <col min="13" max="13" width="12.875" style="1" customWidth="1"/>
    <col min="14" max="15" width="12.875" style="52" customWidth="1"/>
    <col min="16" max="16" width="11.75390625" style="1" customWidth="1"/>
    <col min="17" max="17" width="13.375" style="1" customWidth="1"/>
    <col min="18" max="19" width="16.375" style="1" customWidth="1"/>
    <col min="20" max="20" width="13.875" style="1" customWidth="1"/>
    <col min="21" max="21" width="16.00390625" style="1" customWidth="1"/>
    <col min="22" max="23" width="12.875" style="1" bestFit="1" customWidth="1"/>
    <col min="24" max="16384" width="9.125" style="1" customWidth="1"/>
  </cols>
  <sheetData>
    <row r="1" spans="1:21" ht="15">
      <c r="A1" s="2"/>
      <c r="E1" s="3"/>
      <c r="F1" s="3"/>
      <c r="G1" s="3"/>
      <c r="N1" s="1"/>
      <c r="O1" s="1"/>
      <c r="U1" s="323" t="s">
        <v>0</v>
      </c>
    </row>
    <row r="2" spans="1:21" ht="15.75" customHeight="1">
      <c r="A2" s="800" t="s">
        <v>502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</row>
    <row r="3" spans="1:21" ht="15.75">
      <c r="A3" s="800" t="s">
        <v>668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</row>
    <row r="4" spans="1:21" ht="12.75">
      <c r="A4" s="801" t="s">
        <v>2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</row>
    <row r="5" spans="1:6" ht="13.5" thickBot="1">
      <c r="A5" s="5"/>
      <c r="B5" s="5"/>
      <c r="C5" s="5"/>
      <c r="D5" s="5"/>
      <c r="E5" s="5"/>
      <c r="F5" s="5"/>
    </row>
    <row r="6" spans="1:33" ht="15" thickTop="1">
      <c r="A6" s="794" t="s">
        <v>15</v>
      </c>
      <c r="B6" s="796" t="s">
        <v>16</v>
      </c>
      <c r="C6" s="798" t="s">
        <v>116</v>
      </c>
      <c r="D6" s="805" t="s">
        <v>582</v>
      </c>
      <c r="E6" s="806"/>
      <c r="F6" s="798" t="s">
        <v>5</v>
      </c>
      <c r="G6" s="798"/>
      <c r="H6" s="798"/>
      <c r="I6" s="799" t="s">
        <v>6</v>
      </c>
      <c r="J6" s="799"/>
      <c r="K6" s="799"/>
      <c r="L6" s="799"/>
      <c r="M6" s="799"/>
      <c r="N6" s="799"/>
      <c r="O6" s="799"/>
      <c r="P6" s="799"/>
      <c r="Q6" s="799"/>
      <c r="R6" s="799" t="s">
        <v>7</v>
      </c>
      <c r="S6" s="799"/>
      <c r="T6" s="799"/>
      <c r="U6" s="803" t="s">
        <v>13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57.75" thickBot="1">
      <c r="A7" s="795"/>
      <c r="B7" s="797"/>
      <c r="C7" s="802"/>
      <c r="D7" s="525" t="s">
        <v>3</v>
      </c>
      <c r="E7" s="526" t="s">
        <v>669</v>
      </c>
      <c r="F7" s="296" t="s">
        <v>9</v>
      </c>
      <c r="G7" s="296" t="s">
        <v>10</v>
      </c>
      <c r="H7" s="296" t="s">
        <v>11</v>
      </c>
      <c r="I7" s="296" t="s">
        <v>6</v>
      </c>
      <c r="J7" s="296" t="s">
        <v>391</v>
      </c>
      <c r="K7" s="296" t="s">
        <v>396</v>
      </c>
      <c r="L7" s="296" t="s">
        <v>12</v>
      </c>
      <c r="M7" s="296" t="s">
        <v>569</v>
      </c>
      <c r="N7" s="296" t="s">
        <v>570</v>
      </c>
      <c r="O7" s="296" t="s">
        <v>387</v>
      </c>
      <c r="P7" s="296" t="s">
        <v>392</v>
      </c>
      <c r="Q7" s="296" t="s">
        <v>393</v>
      </c>
      <c r="R7" s="296" t="s">
        <v>7</v>
      </c>
      <c r="S7" s="296" t="s">
        <v>4</v>
      </c>
      <c r="T7" s="296" t="s">
        <v>571</v>
      </c>
      <c r="U7" s="80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thickTop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297">
        <v>13</v>
      </c>
      <c r="N8" s="297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>
      <c r="A9" s="271"/>
      <c r="B9" s="187" t="s">
        <v>20</v>
      </c>
      <c r="C9" s="676"/>
      <c r="D9" s="677"/>
      <c r="E9" s="677"/>
      <c r="F9" s="677"/>
      <c r="G9" s="677"/>
      <c r="H9" s="677"/>
      <c r="I9" s="677"/>
      <c r="J9" s="677"/>
      <c r="K9" s="319"/>
      <c r="L9" s="319"/>
      <c r="M9" s="320"/>
      <c r="N9" s="320"/>
      <c r="O9" s="320"/>
      <c r="P9" s="319"/>
      <c r="Q9" s="319"/>
      <c r="R9" s="319"/>
      <c r="S9" s="319"/>
      <c r="T9" s="319"/>
      <c r="U9" s="319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>
      <c r="A10" s="678" t="s">
        <v>21</v>
      </c>
      <c r="B10" s="311" t="s">
        <v>22</v>
      </c>
      <c r="C10" s="679">
        <f aca="true" t="shared" si="0" ref="C10:C16">SUM(D10:U10)</f>
        <v>40080120</v>
      </c>
      <c r="D10" s="680"/>
      <c r="E10" s="322"/>
      <c r="F10" s="322"/>
      <c r="G10" s="322"/>
      <c r="H10" s="322"/>
      <c r="I10" s="322">
        <f>4225664+2491341+22122284</f>
        <v>28839289</v>
      </c>
      <c r="J10" s="322"/>
      <c r="K10" s="321"/>
      <c r="L10" s="322"/>
      <c r="M10" s="322"/>
      <c r="N10" s="322"/>
      <c r="O10" s="322"/>
      <c r="P10" s="322"/>
      <c r="Q10" s="322"/>
      <c r="R10" s="322">
        <f>4758921+6481910</f>
        <v>11240831</v>
      </c>
      <c r="S10" s="322"/>
      <c r="T10" s="322"/>
      <c r="U10" s="322"/>
      <c r="V10" s="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>
      <c r="A11" s="678" t="s">
        <v>23</v>
      </c>
      <c r="B11" s="311" t="s">
        <v>24</v>
      </c>
      <c r="C11" s="679">
        <f t="shared" si="0"/>
        <v>2354512720</v>
      </c>
      <c r="D11" s="680">
        <v>2354512720</v>
      </c>
      <c r="E11" s="322"/>
      <c r="F11" s="322"/>
      <c r="G11" s="322"/>
      <c r="H11" s="322"/>
      <c r="I11" s="322"/>
      <c r="J11" s="322"/>
      <c r="K11" s="321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7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>
      <c r="A12" s="678" t="s">
        <v>25</v>
      </c>
      <c r="B12" s="311" t="s">
        <v>482</v>
      </c>
      <c r="C12" s="679">
        <f t="shared" si="0"/>
        <v>1661045283</v>
      </c>
      <c r="D12" s="680"/>
      <c r="E12" s="322"/>
      <c r="F12" s="322"/>
      <c r="G12" s="322"/>
      <c r="H12" s="322"/>
      <c r="I12" s="322"/>
      <c r="J12" s="322"/>
      <c r="K12" s="321"/>
      <c r="L12" s="322"/>
      <c r="M12" s="322"/>
      <c r="N12" s="322"/>
      <c r="O12" s="322"/>
      <c r="P12" s="322"/>
      <c r="Q12" s="322"/>
      <c r="R12" s="322"/>
      <c r="S12" s="322"/>
      <c r="T12" s="322"/>
      <c r="U12" s="322">
        <f>1292231801+94180509+274632973</f>
        <v>1661045283</v>
      </c>
      <c r="V12" s="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>
      <c r="A13" s="678" t="s">
        <v>394</v>
      </c>
      <c r="B13" s="311" t="s">
        <v>395</v>
      </c>
      <c r="C13" s="679">
        <f t="shared" si="0"/>
        <v>150000000</v>
      </c>
      <c r="D13" s="680"/>
      <c r="E13" s="322"/>
      <c r="F13" s="322"/>
      <c r="G13" s="322"/>
      <c r="H13" s="322"/>
      <c r="I13" s="322"/>
      <c r="J13" s="322"/>
      <c r="K13" s="321"/>
      <c r="L13" s="322"/>
      <c r="M13" s="322"/>
      <c r="N13" s="322"/>
      <c r="O13" s="322"/>
      <c r="P13" s="322"/>
      <c r="Q13" s="322"/>
      <c r="R13" s="322"/>
      <c r="S13" s="322">
        <v>150000000</v>
      </c>
      <c r="T13" s="322"/>
      <c r="U13" s="322"/>
      <c r="V13" s="7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>
      <c r="A14" s="678" t="s">
        <v>28</v>
      </c>
      <c r="B14" s="311" t="s">
        <v>483</v>
      </c>
      <c r="C14" s="679">
        <f t="shared" si="0"/>
        <v>14260576</v>
      </c>
      <c r="D14" s="680"/>
      <c r="E14" s="322"/>
      <c r="F14" s="322"/>
      <c r="G14" s="322"/>
      <c r="H14" s="322"/>
      <c r="I14" s="322">
        <v>11228800</v>
      </c>
      <c r="J14" s="322"/>
      <c r="K14" s="321"/>
      <c r="L14" s="322">
        <v>3031776</v>
      </c>
      <c r="M14" s="322"/>
      <c r="N14" s="322"/>
      <c r="O14" s="322"/>
      <c r="P14" s="322"/>
      <c r="Q14" s="322"/>
      <c r="R14" s="322"/>
      <c r="S14" s="322"/>
      <c r="T14" s="322"/>
      <c r="U14" s="322"/>
      <c r="V14" s="7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>
      <c r="A15" s="678" t="s">
        <v>31</v>
      </c>
      <c r="B15" s="311" t="s">
        <v>32</v>
      </c>
      <c r="C15" s="679">
        <f t="shared" si="0"/>
        <v>2525000000</v>
      </c>
      <c r="D15" s="680"/>
      <c r="E15" s="322"/>
      <c r="F15" s="322">
        <v>800000000</v>
      </c>
      <c r="G15" s="322">
        <v>1700000000</v>
      </c>
      <c r="H15" s="322">
        <v>25000000</v>
      </c>
      <c r="I15" s="322"/>
      <c r="J15" s="322"/>
      <c r="K15" s="321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7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>
      <c r="A16" s="678" t="s">
        <v>33</v>
      </c>
      <c r="B16" s="311" t="s">
        <v>34</v>
      </c>
      <c r="C16" s="679">
        <f t="shared" si="0"/>
        <v>1316715750</v>
      </c>
      <c r="D16" s="680"/>
      <c r="E16" s="322"/>
      <c r="F16" s="321"/>
      <c r="G16" s="321"/>
      <c r="H16" s="321"/>
      <c r="I16" s="321"/>
      <c r="J16" s="321"/>
      <c r="K16" s="321"/>
      <c r="L16" s="322"/>
      <c r="M16" s="322"/>
      <c r="N16" s="322">
        <v>16255750</v>
      </c>
      <c r="O16" s="322"/>
      <c r="P16" s="322"/>
      <c r="Q16" s="322"/>
      <c r="R16" s="322"/>
      <c r="S16" s="322"/>
      <c r="T16" s="322"/>
      <c r="U16" s="322">
        <v>1300460000</v>
      </c>
      <c r="V16" s="7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>
      <c r="A17" s="312"/>
      <c r="B17" s="313" t="s">
        <v>567</v>
      </c>
      <c r="C17" s="314">
        <f aca="true" t="shared" si="1" ref="C17:U17">SUM(C9:C16)</f>
        <v>8061614449</v>
      </c>
      <c r="D17" s="314">
        <f t="shared" si="1"/>
        <v>2354512720</v>
      </c>
      <c r="E17" s="315">
        <f t="shared" si="1"/>
        <v>0</v>
      </c>
      <c r="F17" s="314">
        <f t="shared" si="1"/>
        <v>800000000</v>
      </c>
      <c r="G17" s="314">
        <f t="shared" si="1"/>
        <v>1700000000</v>
      </c>
      <c r="H17" s="314">
        <f t="shared" si="1"/>
        <v>25000000</v>
      </c>
      <c r="I17" s="314">
        <f t="shared" si="1"/>
        <v>40068089</v>
      </c>
      <c r="J17" s="315">
        <f t="shared" si="1"/>
        <v>0</v>
      </c>
      <c r="K17" s="315">
        <f t="shared" si="1"/>
        <v>0</v>
      </c>
      <c r="L17" s="314">
        <f t="shared" si="1"/>
        <v>3031776</v>
      </c>
      <c r="M17" s="315">
        <f t="shared" si="1"/>
        <v>0</v>
      </c>
      <c r="N17" s="314">
        <f t="shared" si="1"/>
        <v>16255750</v>
      </c>
      <c r="O17" s="315">
        <f t="shared" si="1"/>
        <v>0</v>
      </c>
      <c r="P17" s="315">
        <f t="shared" si="1"/>
        <v>0</v>
      </c>
      <c r="Q17" s="315">
        <f t="shared" si="1"/>
        <v>0</v>
      </c>
      <c r="R17" s="314">
        <f t="shared" si="1"/>
        <v>11240831</v>
      </c>
      <c r="S17" s="314">
        <f t="shared" si="1"/>
        <v>150000000</v>
      </c>
      <c r="T17" s="315">
        <f t="shared" si="1"/>
        <v>0</v>
      </c>
      <c r="U17" s="314">
        <f t="shared" si="1"/>
        <v>2961505283</v>
      </c>
      <c r="V17" s="7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>
      <c r="A18" s="316"/>
      <c r="B18" s="317" t="s">
        <v>566</v>
      </c>
      <c r="C18" s="308"/>
      <c r="D18" s="309"/>
      <c r="E18" s="530"/>
      <c r="F18" s="309"/>
      <c r="G18" s="309"/>
      <c r="H18" s="309"/>
      <c r="I18" s="309"/>
      <c r="J18" s="309"/>
      <c r="K18" s="309"/>
      <c r="L18" s="309"/>
      <c r="M18" s="309"/>
      <c r="N18" s="310"/>
      <c r="O18" s="310"/>
      <c r="P18" s="309"/>
      <c r="Q18" s="309"/>
      <c r="R18" s="309"/>
      <c r="S18" s="309"/>
      <c r="T18" s="309"/>
      <c r="U18" s="309"/>
      <c r="V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>
      <c r="A19" s="316" t="s">
        <v>357</v>
      </c>
      <c r="B19" s="318" t="s">
        <v>358</v>
      </c>
      <c r="C19" s="308">
        <f>SUM(D19:U19)</f>
        <v>5708017</v>
      </c>
      <c r="D19" s="309"/>
      <c r="E19" s="530"/>
      <c r="F19" s="309"/>
      <c r="G19" s="309"/>
      <c r="H19" s="309"/>
      <c r="I19" s="322">
        <v>5708017</v>
      </c>
      <c r="J19" s="309"/>
      <c r="K19" s="309"/>
      <c r="L19" s="309"/>
      <c r="M19" s="309"/>
      <c r="N19" s="310"/>
      <c r="O19" s="310"/>
      <c r="P19" s="309"/>
      <c r="Q19" s="309"/>
      <c r="R19" s="309"/>
      <c r="S19" s="309"/>
      <c r="T19" s="309"/>
      <c r="U19" s="309"/>
      <c r="V19" s="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240" customFormat="1" ht="14.25">
      <c r="A20" s="682"/>
      <c r="B20" s="683" t="s">
        <v>568</v>
      </c>
      <c r="C20" s="684">
        <f aca="true" t="shared" si="2" ref="C20:U20">SUM(C18:C19)</f>
        <v>5708017</v>
      </c>
      <c r="D20" s="685">
        <f t="shared" si="2"/>
        <v>0</v>
      </c>
      <c r="E20" s="685">
        <f t="shared" si="2"/>
        <v>0</v>
      </c>
      <c r="F20" s="685">
        <f t="shared" si="2"/>
        <v>0</v>
      </c>
      <c r="G20" s="685">
        <f t="shared" si="2"/>
        <v>0</v>
      </c>
      <c r="H20" s="685">
        <f t="shared" si="2"/>
        <v>0</v>
      </c>
      <c r="I20" s="684">
        <f t="shared" si="2"/>
        <v>5708017</v>
      </c>
      <c r="J20" s="685">
        <f t="shared" si="2"/>
        <v>0</v>
      </c>
      <c r="K20" s="685">
        <f t="shared" si="2"/>
        <v>0</v>
      </c>
      <c r="L20" s="685">
        <f t="shared" si="2"/>
        <v>0</v>
      </c>
      <c r="M20" s="685">
        <f t="shared" si="2"/>
        <v>0</v>
      </c>
      <c r="N20" s="685">
        <f t="shared" si="2"/>
        <v>0</v>
      </c>
      <c r="O20" s="685">
        <f t="shared" si="2"/>
        <v>0</v>
      </c>
      <c r="P20" s="685">
        <f t="shared" si="2"/>
        <v>0</v>
      </c>
      <c r="Q20" s="685">
        <f t="shared" si="2"/>
        <v>0</v>
      </c>
      <c r="R20" s="685">
        <f t="shared" si="2"/>
        <v>0</v>
      </c>
      <c r="S20" s="684">
        <f t="shared" si="2"/>
        <v>0</v>
      </c>
      <c r="T20" s="685">
        <f t="shared" si="2"/>
        <v>0</v>
      </c>
      <c r="U20" s="685">
        <f t="shared" si="2"/>
        <v>0</v>
      </c>
      <c r="V20" s="527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</row>
    <row r="21" spans="1:33" ht="14.25">
      <c r="A21" s="791" t="s">
        <v>36</v>
      </c>
      <c r="B21" s="791"/>
      <c r="C21" s="686">
        <f aca="true" t="shared" si="3" ref="C21:U21">+C20+C17</f>
        <v>8067322466</v>
      </c>
      <c r="D21" s="686">
        <f t="shared" si="3"/>
        <v>2354512720</v>
      </c>
      <c r="E21" s="687">
        <f t="shared" si="3"/>
        <v>0</v>
      </c>
      <c r="F21" s="686">
        <f t="shared" si="3"/>
        <v>800000000</v>
      </c>
      <c r="G21" s="686">
        <f t="shared" si="3"/>
        <v>1700000000</v>
      </c>
      <c r="H21" s="686">
        <f t="shared" si="3"/>
        <v>25000000</v>
      </c>
      <c r="I21" s="686">
        <f t="shared" si="3"/>
        <v>45776106</v>
      </c>
      <c r="J21" s="687">
        <f t="shared" si="3"/>
        <v>0</v>
      </c>
      <c r="K21" s="687">
        <f t="shared" si="3"/>
        <v>0</v>
      </c>
      <c r="L21" s="686">
        <f t="shared" si="3"/>
        <v>3031776</v>
      </c>
      <c r="M21" s="687">
        <f t="shared" si="3"/>
        <v>0</v>
      </c>
      <c r="N21" s="686">
        <f t="shared" si="3"/>
        <v>16255750</v>
      </c>
      <c r="O21" s="687">
        <f t="shared" si="3"/>
        <v>0</v>
      </c>
      <c r="P21" s="687">
        <f t="shared" si="3"/>
        <v>0</v>
      </c>
      <c r="Q21" s="687">
        <f t="shared" si="3"/>
        <v>0</v>
      </c>
      <c r="R21" s="686">
        <f t="shared" si="3"/>
        <v>11240831</v>
      </c>
      <c r="S21" s="686">
        <f t="shared" si="3"/>
        <v>150000000</v>
      </c>
      <c r="T21" s="687">
        <f t="shared" si="3"/>
        <v>0</v>
      </c>
      <c r="U21" s="686">
        <f t="shared" si="3"/>
        <v>2961505283</v>
      </c>
      <c r="V21" s="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22" s="8" customFormat="1" ht="15">
      <c r="A22" s="792" t="s">
        <v>564</v>
      </c>
      <c r="B22" s="792"/>
      <c r="C22" s="681">
        <f>SUM(D22:U22)</f>
        <v>338154000</v>
      </c>
      <c r="D22" s="324"/>
      <c r="E22" s="531"/>
      <c r="F22" s="324"/>
      <c r="G22" s="324"/>
      <c r="H22" s="324"/>
      <c r="I22" s="325">
        <f>SUM('8.sz.int_bevétel  '!E13)+'8.sz.int_bevétel  '!G13</f>
        <v>9236000</v>
      </c>
      <c r="J22" s="325"/>
      <c r="K22" s="325">
        <f>SUM('8.sz.int_bevétel  '!F13)</f>
        <v>240516000</v>
      </c>
      <c r="L22" s="325">
        <f>SUM('8.sz.int_bevétel  '!H13)</f>
        <v>65864000</v>
      </c>
      <c r="M22" s="325">
        <f>+'8.sz.int_bevétel  '!I13</f>
        <v>22538000</v>
      </c>
      <c r="N22" s="325"/>
      <c r="O22" s="325"/>
      <c r="P22" s="324"/>
      <c r="Q22" s="324"/>
      <c r="R22" s="324"/>
      <c r="S22" s="324"/>
      <c r="T22" s="324"/>
      <c r="U22" s="324"/>
      <c r="V22" s="7"/>
    </row>
    <row r="23" spans="1:22" s="8" customFormat="1" ht="15">
      <c r="A23" s="792" t="s">
        <v>565</v>
      </c>
      <c r="B23" s="792"/>
      <c r="C23" s="529">
        <f>SUM(D23:U23)</f>
        <v>0</v>
      </c>
      <c r="D23" s="324"/>
      <c r="E23" s="532"/>
      <c r="F23" s="324"/>
      <c r="G23" s="324"/>
      <c r="H23" s="324"/>
      <c r="I23" s="324"/>
      <c r="J23" s="324"/>
      <c r="K23" s="324"/>
      <c r="L23" s="324"/>
      <c r="M23" s="324"/>
      <c r="N23" s="325"/>
      <c r="O23" s="325"/>
      <c r="P23" s="324"/>
      <c r="Q23" s="324"/>
      <c r="R23" s="324"/>
      <c r="S23" s="324"/>
      <c r="T23" s="324"/>
      <c r="U23" s="324"/>
      <c r="V23" s="7"/>
    </row>
    <row r="24" spans="1:22" s="9" customFormat="1" ht="14.25">
      <c r="A24" s="793" t="s">
        <v>40</v>
      </c>
      <c r="B24" s="793"/>
      <c r="C24" s="688">
        <f>SUM(C21:C23)</f>
        <v>8405476466</v>
      </c>
      <c r="D24" s="688">
        <f aca="true" t="shared" si="4" ref="D24:U24">SUM(D21:D23)</f>
        <v>2354512720</v>
      </c>
      <c r="E24" s="689">
        <f t="shared" si="4"/>
        <v>0</v>
      </c>
      <c r="F24" s="688">
        <f t="shared" si="4"/>
        <v>800000000</v>
      </c>
      <c r="G24" s="688">
        <f t="shared" si="4"/>
        <v>1700000000</v>
      </c>
      <c r="H24" s="688">
        <f t="shared" si="4"/>
        <v>25000000</v>
      </c>
      <c r="I24" s="688">
        <f t="shared" si="4"/>
        <v>55012106</v>
      </c>
      <c r="J24" s="689">
        <f t="shared" si="4"/>
        <v>0</v>
      </c>
      <c r="K24" s="688">
        <f t="shared" si="4"/>
        <v>240516000</v>
      </c>
      <c r="L24" s="688">
        <f t="shared" si="4"/>
        <v>68895776</v>
      </c>
      <c r="M24" s="688">
        <f t="shared" si="4"/>
        <v>22538000</v>
      </c>
      <c r="N24" s="688">
        <f t="shared" si="4"/>
        <v>16255750</v>
      </c>
      <c r="O24" s="689">
        <f t="shared" si="4"/>
        <v>0</v>
      </c>
      <c r="P24" s="689">
        <f t="shared" si="4"/>
        <v>0</v>
      </c>
      <c r="Q24" s="689">
        <f t="shared" si="4"/>
        <v>0</v>
      </c>
      <c r="R24" s="688">
        <f t="shared" si="4"/>
        <v>11240831</v>
      </c>
      <c r="S24" s="688">
        <f t="shared" si="4"/>
        <v>150000000</v>
      </c>
      <c r="T24" s="689">
        <f t="shared" si="4"/>
        <v>0</v>
      </c>
      <c r="U24" s="688">
        <f t="shared" si="4"/>
        <v>2961505283</v>
      </c>
      <c r="V24" s="7"/>
    </row>
  </sheetData>
  <sheetProtection/>
  <mergeCells count="15">
    <mergeCell ref="F6:H6"/>
    <mergeCell ref="I6:Q6"/>
    <mergeCell ref="R6:T6"/>
    <mergeCell ref="A2:U2"/>
    <mergeCell ref="A4:U4"/>
    <mergeCell ref="A3:U3"/>
    <mergeCell ref="C6:C7"/>
    <mergeCell ref="U6:U7"/>
    <mergeCell ref="D6:E6"/>
    <mergeCell ref="A21:B21"/>
    <mergeCell ref="A22:B22"/>
    <mergeCell ref="A23:B23"/>
    <mergeCell ref="A24:B24"/>
    <mergeCell ref="A6:A7"/>
    <mergeCell ref="B6:B7"/>
  </mergeCells>
  <printOptions horizontalCentered="1" verticalCentered="1"/>
  <pageMargins left="0" right="0" top="0.7086614173228347" bottom="0.7480314960629921" header="0.3937007874015748" footer="0.3937007874015748"/>
  <pageSetup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H19" sqref="H19"/>
    </sheetView>
  </sheetViews>
  <sheetFormatPr defaultColWidth="9.00390625" defaultRowHeight="12.75"/>
  <cols>
    <col min="1" max="1" width="5.625" style="326" customWidth="1"/>
    <col min="2" max="2" width="35.00390625" style="326" customWidth="1"/>
    <col min="3" max="3" width="19.625" style="326" customWidth="1"/>
    <col min="4" max="4" width="20.375" style="326" bestFit="1" customWidth="1"/>
    <col min="5" max="5" width="15.25390625" style="326" customWidth="1"/>
    <col min="6" max="6" width="12.875" style="326" customWidth="1"/>
    <col min="7" max="7" width="13.75390625" style="326" customWidth="1"/>
    <col min="8" max="8" width="14.375" style="326" customWidth="1"/>
    <col min="9" max="9" width="15.75390625" style="326" customWidth="1"/>
    <col min="10" max="10" width="10.875" style="326" bestFit="1" customWidth="1"/>
    <col min="11" max="12" width="7.75390625" style="326" customWidth="1"/>
    <col min="13" max="16384" width="9.125" style="326" customWidth="1"/>
  </cols>
  <sheetData>
    <row r="1" spans="1:9" ht="15.75">
      <c r="A1" s="384" t="s">
        <v>1</v>
      </c>
      <c r="I1" s="331" t="s">
        <v>106</v>
      </c>
    </row>
    <row r="2" ht="15.75">
      <c r="A2" s="384"/>
    </row>
    <row r="3" spans="1:12" ht="15">
      <c r="A3" s="808" t="s">
        <v>674</v>
      </c>
      <c r="B3" s="808"/>
      <c r="C3" s="808"/>
      <c r="D3" s="808"/>
      <c r="E3" s="808"/>
      <c r="F3" s="808"/>
      <c r="G3" s="808"/>
      <c r="H3" s="808"/>
      <c r="I3" s="808"/>
      <c r="J3" s="327"/>
      <c r="K3" s="327"/>
      <c r="L3" s="327"/>
    </row>
    <row r="4" spans="1:10" ht="15">
      <c r="A4" s="807" t="s">
        <v>108</v>
      </c>
      <c r="B4" s="807"/>
      <c r="C4" s="807"/>
      <c r="D4" s="807"/>
      <c r="E4" s="807"/>
      <c r="F4" s="807"/>
      <c r="G4" s="807"/>
      <c r="H4" s="807"/>
      <c r="I4" s="807"/>
      <c r="J4" s="328"/>
    </row>
    <row r="5" spans="1:10" ht="15">
      <c r="A5" s="809" t="s">
        <v>107</v>
      </c>
      <c r="B5" s="809"/>
      <c r="C5" s="809"/>
      <c r="D5" s="809"/>
      <c r="E5" s="809"/>
      <c r="F5" s="809"/>
      <c r="G5" s="809"/>
      <c r="H5" s="809"/>
      <c r="I5" s="809"/>
      <c r="J5" s="328"/>
    </row>
    <row r="6" spans="1:10" ht="15.75" thickBot="1">
      <c r="A6" s="329"/>
      <c r="B6" s="329"/>
      <c r="C6" s="329"/>
      <c r="D6" s="329"/>
      <c r="E6" s="329"/>
      <c r="F6" s="329"/>
      <c r="G6" s="329"/>
      <c r="H6" s="329"/>
      <c r="I6" s="329"/>
      <c r="J6" s="328"/>
    </row>
    <row r="7" spans="1:11" ht="15.75" thickTop="1">
      <c r="A7" s="813" t="s">
        <v>41</v>
      </c>
      <c r="B7" s="811" t="s">
        <v>572</v>
      </c>
      <c r="C7" s="810" t="s">
        <v>573</v>
      </c>
      <c r="D7" s="810" t="s">
        <v>260</v>
      </c>
      <c r="E7" s="810"/>
      <c r="F7" s="810"/>
      <c r="G7" s="810"/>
      <c r="H7" s="811" t="s">
        <v>222</v>
      </c>
      <c r="I7" s="812"/>
      <c r="J7" s="331"/>
      <c r="K7" s="331"/>
    </row>
    <row r="8" spans="1:9" s="333" customFormat="1" ht="57.75" thickBot="1">
      <c r="A8" s="814"/>
      <c r="B8" s="815"/>
      <c r="C8" s="816"/>
      <c r="D8" s="348" t="s">
        <v>299</v>
      </c>
      <c r="E8" s="348" t="s">
        <v>574</v>
      </c>
      <c r="F8" s="348" t="s">
        <v>301</v>
      </c>
      <c r="G8" s="348" t="s">
        <v>575</v>
      </c>
      <c r="H8" s="348" t="s">
        <v>110</v>
      </c>
      <c r="I8" s="349" t="s">
        <v>111</v>
      </c>
    </row>
    <row r="9" spans="1:11" ht="24.75" customHeight="1" thickTop="1">
      <c r="A9" s="339">
        <v>1</v>
      </c>
      <c r="B9" s="334" t="s">
        <v>112</v>
      </c>
      <c r="C9" s="690">
        <f>SUM(D9:I9)</f>
        <v>650177844</v>
      </c>
      <c r="D9" s="337">
        <v>457312657</v>
      </c>
      <c r="E9" s="337">
        <v>71530247</v>
      </c>
      <c r="F9" s="337">
        <v>108350940</v>
      </c>
      <c r="G9" s="337"/>
      <c r="H9" s="337">
        <v>12984000</v>
      </c>
      <c r="I9" s="335"/>
      <c r="J9" s="331"/>
      <c r="K9" s="331"/>
    </row>
    <row r="10" spans="1:11" ht="24.75" customHeight="1">
      <c r="A10" s="332">
        <v>2</v>
      </c>
      <c r="B10" s="330" t="s">
        <v>204</v>
      </c>
      <c r="C10" s="338">
        <f>SUM(D10:I10)</f>
        <v>2382318000</v>
      </c>
      <c r="D10" s="338">
        <v>1281317000</v>
      </c>
      <c r="E10" s="338">
        <v>218108000</v>
      </c>
      <c r="F10" s="338">
        <v>864522000</v>
      </c>
      <c r="G10" s="338"/>
      <c r="H10" s="338">
        <v>18371000</v>
      </c>
      <c r="I10" s="336"/>
      <c r="J10" s="331"/>
      <c r="K10" s="331"/>
    </row>
    <row r="11" spans="1:11" ht="24.75" customHeight="1">
      <c r="A11" s="332">
        <v>3</v>
      </c>
      <c r="B11" s="330" t="s">
        <v>113</v>
      </c>
      <c r="C11" s="338">
        <f>SUM(D11:I11)</f>
        <v>15847000</v>
      </c>
      <c r="D11" s="338">
        <v>11665000</v>
      </c>
      <c r="E11" s="338">
        <v>1819000</v>
      </c>
      <c r="F11" s="338">
        <v>1863000</v>
      </c>
      <c r="G11" s="338"/>
      <c r="H11" s="338">
        <v>500000</v>
      </c>
      <c r="I11" s="336"/>
      <c r="J11" s="331"/>
      <c r="K11" s="331"/>
    </row>
    <row r="12" spans="1:11" ht="24.75" customHeight="1" thickBot="1">
      <c r="A12" s="340">
        <v>4</v>
      </c>
      <c r="B12" s="341" t="s">
        <v>673</v>
      </c>
      <c r="C12" s="691">
        <f>SUM(D12:H12)</f>
        <v>9843000</v>
      </c>
      <c r="D12" s="342">
        <v>5458000</v>
      </c>
      <c r="E12" s="342">
        <v>846000</v>
      </c>
      <c r="F12" s="342">
        <v>2223000</v>
      </c>
      <c r="G12" s="342"/>
      <c r="H12" s="342">
        <v>1316000</v>
      </c>
      <c r="I12" s="343"/>
      <c r="J12" s="331"/>
      <c r="K12" s="331"/>
    </row>
    <row r="13" spans="1:11" ht="24.75" customHeight="1" thickBot="1" thickTop="1">
      <c r="A13" s="344"/>
      <c r="B13" s="345" t="s">
        <v>576</v>
      </c>
      <c r="C13" s="346">
        <f aca="true" t="shared" si="0" ref="C13:H13">SUM(C9:C12)</f>
        <v>3058185844</v>
      </c>
      <c r="D13" s="346">
        <f t="shared" si="0"/>
        <v>1755752657</v>
      </c>
      <c r="E13" s="346">
        <f t="shared" si="0"/>
        <v>292303247</v>
      </c>
      <c r="F13" s="346">
        <f t="shared" si="0"/>
        <v>976958940</v>
      </c>
      <c r="G13" s="692">
        <f t="shared" si="0"/>
        <v>0</v>
      </c>
      <c r="H13" s="346">
        <f t="shared" si="0"/>
        <v>33171000</v>
      </c>
      <c r="I13" s="347"/>
      <c r="J13" s="331"/>
      <c r="K13" s="331"/>
    </row>
    <row r="14" spans="3:11" ht="24.75" customHeight="1" thickTop="1">
      <c r="C14" s="331"/>
      <c r="D14" s="331"/>
      <c r="E14" s="331"/>
      <c r="F14" s="331"/>
      <c r="G14" s="331"/>
      <c r="H14" s="331"/>
      <c r="I14" s="331"/>
      <c r="J14" s="331"/>
      <c r="K14" s="331"/>
    </row>
    <row r="15" spans="3:11" ht="24.75" customHeight="1">
      <c r="C15" s="331"/>
      <c r="D15" s="331"/>
      <c r="E15" s="331"/>
      <c r="F15" s="331"/>
      <c r="G15" s="331"/>
      <c r="H15" s="331"/>
      <c r="I15" s="331"/>
      <c r="J15" s="331"/>
      <c r="K15" s="331"/>
    </row>
    <row r="16" spans="3:11" ht="24.75" customHeight="1">
      <c r="C16" s="331"/>
      <c r="D16" s="331"/>
      <c r="E16" s="331"/>
      <c r="F16" s="331"/>
      <c r="G16" s="331"/>
      <c r="H16" s="331"/>
      <c r="I16" s="331"/>
      <c r="J16" s="331"/>
      <c r="K16" s="331"/>
    </row>
    <row r="17" spans="3:11" ht="15">
      <c r="C17" s="331"/>
      <c r="D17" s="331"/>
      <c r="E17" s="331"/>
      <c r="F17" s="331"/>
      <c r="G17" s="331"/>
      <c r="H17" s="331"/>
      <c r="I17" s="331"/>
      <c r="J17" s="331"/>
      <c r="K17" s="331"/>
    </row>
    <row r="18" spans="3:11" ht="15">
      <c r="C18" s="331"/>
      <c r="D18" s="331"/>
      <c r="E18" s="331"/>
      <c r="F18" s="331"/>
      <c r="G18" s="331"/>
      <c r="H18" s="331"/>
      <c r="I18" s="331"/>
      <c r="J18" s="331"/>
      <c r="K18" s="331"/>
    </row>
    <row r="19" spans="3:11" ht="15">
      <c r="C19" s="331"/>
      <c r="D19" s="331"/>
      <c r="E19" s="331"/>
      <c r="F19" s="331"/>
      <c r="G19" s="331"/>
      <c r="H19" s="331"/>
      <c r="I19" s="331"/>
      <c r="J19" s="331"/>
      <c r="K19" s="331"/>
    </row>
    <row r="20" spans="3:11" ht="15">
      <c r="C20" s="331"/>
      <c r="D20" s="331"/>
      <c r="E20" s="331"/>
      <c r="F20" s="331"/>
      <c r="G20" s="331"/>
      <c r="H20" s="331"/>
      <c r="I20" s="331"/>
      <c r="J20" s="331"/>
      <c r="K20" s="331"/>
    </row>
    <row r="21" spans="3:11" ht="15">
      <c r="C21" s="331"/>
      <c r="D21" s="331"/>
      <c r="E21" s="331"/>
      <c r="F21" s="331"/>
      <c r="G21" s="331"/>
      <c r="H21" s="331"/>
      <c r="I21" s="331"/>
      <c r="J21" s="331"/>
      <c r="K21" s="331"/>
    </row>
    <row r="22" spans="3:11" ht="15">
      <c r="C22" s="331"/>
      <c r="D22" s="331"/>
      <c r="E22" s="331"/>
      <c r="F22" s="331"/>
      <c r="G22" s="331"/>
      <c r="H22" s="331"/>
      <c r="I22" s="331"/>
      <c r="J22" s="331"/>
      <c r="K22" s="331"/>
    </row>
    <row r="23" spans="3:11" ht="15">
      <c r="C23" s="331"/>
      <c r="D23" s="331"/>
      <c r="E23" s="331"/>
      <c r="F23" s="331"/>
      <c r="G23" s="331"/>
      <c r="H23" s="331"/>
      <c r="I23" s="331"/>
      <c r="J23" s="331"/>
      <c r="K23" s="331"/>
    </row>
    <row r="24" spans="3:11" ht="15">
      <c r="C24" s="331"/>
      <c r="D24" s="331"/>
      <c r="E24" s="331"/>
      <c r="F24" s="331"/>
      <c r="G24" s="331"/>
      <c r="H24" s="331"/>
      <c r="I24" s="331"/>
      <c r="J24" s="331"/>
      <c r="K24" s="331"/>
    </row>
    <row r="25" spans="3:11" ht="15">
      <c r="C25" s="331"/>
      <c r="D25" s="331"/>
      <c r="E25" s="331"/>
      <c r="F25" s="331"/>
      <c r="G25" s="331"/>
      <c r="H25" s="331"/>
      <c r="I25" s="331"/>
      <c r="J25" s="331"/>
      <c r="K25" s="331"/>
    </row>
    <row r="26" spans="3:11" ht="15">
      <c r="C26" s="331"/>
      <c r="D26" s="331"/>
      <c r="E26" s="331"/>
      <c r="F26" s="331"/>
      <c r="G26" s="331"/>
      <c r="H26" s="331"/>
      <c r="I26" s="331"/>
      <c r="J26" s="331"/>
      <c r="K26" s="331"/>
    </row>
    <row r="27" spans="3:11" ht="15">
      <c r="C27" s="331"/>
      <c r="D27" s="331"/>
      <c r="E27" s="331"/>
      <c r="F27" s="331"/>
      <c r="G27" s="331"/>
      <c r="H27" s="331"/>
      <c r="I27" s="331"/>
      <c r="J27" s="331"/>
      <c r="K27" s="331"/>
    </row>
    <row r="28" spans="3:11" ht="15">
      <c r="C28" s="331"/>
      <c r="D28" s="331"/>
      <c r="E28" s="331"/>
      <c r="F28" s="331"/>
      <c r="G28" s="331"/>
      <c r="H28" s="331"/>
      <c r="I28" s="331"/>
      <c r="J28" s="331"/>
      <c r="K28" s="331"/>
    </row>
    <row r="29" spans="3:11" ht="15">
      <c r="C29" s="331"/>
      <c r="D29" s="331"/>
      <c r="E29" s="331"/>
      <c r="F29" s="331"/>
      <c r="G29" s="331"/>
      <c r="H29" s="331"/>
      <c r="I29" s="331"/>
      <c r="J29" s="331"/>
      <c r="K29" s="331"/>
    </row>
    <row r="30" spans="3:11" ht="15">
      <c r="C30" s="331"/>
      <c r="D30" s="331"/>
      <c r="E30" s="331"/>
      <c r="F30" s="331"/>
      <c r="G30" s="331"/>
      <c r="H30" s="331"/>
      <c r="I30" s="331"/>
      <c r="J30" s="331"/>
      <c r="K30" s="331"/>
    </row>
    <row r="31" spans="3:11" ht="15">
      <c r="C31" s="331"/>
      <c r="D31" s="331"/>
      <c r="E31" s="331"/>
      <c r="F31" s="331"/>
      <c r="G31" s="331"/>
      <c r="H31" s="331"/>
      <c r="I31" s="331"/>
      <c r="J31" s="331"/>
      <c r="K31" s="331"/>
    </row>
    <row r="32" spans="3:11" ht="15">
      <c r="C32" s="331"/>
      <c r="D32" s="331"/>
      <c r="E32" s="331"/>
      <c r="F32" s="331"/>
      <c r="G32" s="331"/>
      <c r="H32" s="331"/>
      <c r="I32" s="331"/>
      <c r="J32" s="331"/>
      <c r="K32" s="331"/>
    </row>
    <row r="33" spans="3:11" ht="15">
      <c r="C33" s="331"/>
      <c r="D33" s="331"/>
      <c r="E33" s="331"/>
      <c r="F33" s="331"/>
      <c r="G33" s="331"/>
      <c r="H33" s="331"/>
      <c r="I33" s="331"/>
      <c r="J33" s="331"/>
      <c r="K33" s="331"/>
    </row>
    <row r="34" spans="3:11" ht="15">
      <c r="C34" s="331"/>
      <c r="D34" s="331"/>
      <c r="E34" s="331"/>
      <c r="F34" s="331"/>
      <c r="G34" s="331"/>
      <c r="H34" s="331"/>
      <c r="I34" s="331"/>
      <c r="J34" s="331"/>
      <c r="K34" s="331"/>
    </row>
    <row r="35" spans="3:11" ht="15">
      <c r="C35" s="331"/>
      <c r="D35" s="331"/>
      <c r="E35" s="331"/>
      <c r="F35" s="331"/>
      <c r="G35" s="331"/>
      <c r="H35" s="331"/>
      <c r="I35" s="331"/>
      <c r="J35" s="331"/>
      <c r="K35" s="331"/>
    </row>
    <row r="36" spans="3:11" ht="15">
      <c r="C36" s="331"/>
      <c r="D36" s="331"/>
      <c r="E36" s="331"/>
      <c r="F36" s="331"/>
      <c r="G36" s="331"/>
      <c r="H36" s="331"/>
      <c r="I36" s="331"/>
      <c r="J36" s="331"/>
      <c r="K36" s="331"/>
    </row>
    <row r="37" spans="3:11" ht="15">
      <c r="C37" s="331"/>
      <c r="D37" s="331"/>
      <c r="E37" s="331"/>
      <c r="F37" s="331"/>
      <c r="G37" s="331"/>
      <c r="H37" s="331"/>
      <c r="I37" s="331"/>
      <c r="J37" s="331"/>
      <c r="K37" s="331"/>
    </row>
    <row r="38" spans="3:11" ht="15">
      <c r="C38" s="331"/>
      <c r="D38" s="331"/>
      <c r="E38" s="331"/>
      <c r="F38" s="331"/>
      <c r="G38" s="331"/>
      <c r="H38" s="331"/>
      <c r="I38" s="331"/>
      <c r="J38" s="331"/>
      <c r="K38" s="331"/>
    </row>
    <row r="39" spans="3:11" ht="15">
      <c r="C39" s="331"/>
      <c r="D39" s="331"/>
      <c r="E39" s="331"/>
      <c r="F39" s="331"/>
      <c r="G39" s="331"/>
      <c r="H39" s="331"/>
      <c r="I39" s="331"/>
      <c r="J39" s="331"/>
      <c r="K39" s="331"/>
    </row>
    <row r="40" spans="3:11" ht="15">
      <c r="C40" s="331"/>
      <c r="D40" s="331"/>
      <c r="E40" s="331"/>
      <c r="F40" s="331"/>
      <c r="G40" s="331"/>
      <c r="H40" s="331"/>
      <c r="I40" s="331"/>
      <c r="J40" s="331"/>
      <c r="K40" s="331"/>
    </row>
    <row r="41" spans="3:11" ht="15">
      <c r="C41" s="331"/>
      <c r="D41" s="331"/>
      <c r="E41" s="331"/>
      <c r="F41" s="331"/>
      <c r="G41" s="331"/>
      <c r="H41" s="331"/>
      <c r="I41" s="331"/>
      <c r="J41" s="331"/>
      <c r="K41" s="331"/>
    </row>
    <row r="42" spans="3:11" ht="15">
      <c r="C42" s="331"/>
      <c r="D42" s="331"/>
      <c r="E42" s="331"/>
      <c r="F42" s="331"/>
      <c r="G42" s="331"/>
      <c r="H42" s="331"/>
      <c r="I42" s="331"/>
      <c r="J42" s="331"/>
      <c r="K42" s="331"/>
    </row>
    <row r="43" spans="3:11" ht="15">
      <c r="C43" s="331"/>
      <c r="D43" s="331"/>
      <c r="E43" s="331"/>
      <c r="F43" s="331"/>
      <c r="G43" s="331"/>
      <c r="H43" s="331"/>
      <c r="I43" s="331"/>
      <c r="J43" s="331"/>
      <c r="K43" s="331"/>
    </row>
    <row r="44" spans="3:11" ht="15">
      <c r="C44" s="331"/>
      <c r="D44" s="331"/>
      <c r="E44" s="331"/>
      <c r="F44" s="331"/>
      <c r="G44" s="331"/>
      <c r="H44" s="331"/>
      <c r="I44" s="331"/>
      <c r="J44" s="331"/>
      <c r="K44" s="331"/>
    </row>
    <row r="45" spans="3:11" ht="15">
      <c r="C45" s="331"/>
      <c r="D45" s="331"/>
      <c r="E45" s="331"/>
      <c r="F45" s="331"/>
      <c r="G45" s="331"/>
      <c r="H45" s="331"/>
      <c r="I45" s="331"/>
      <c r="J45" s="331"/>
      <c r="K45" s="331"/>
    </row>
    <row r="46" spans="3:11" ht="15">
      <c r="C46" s="331"/>
      <c r="D46" s="331"/>
      <c r="E46" s="331"/>
      <c r="F46" s="331"/>
      <c r="G46" s="331"/>
      <c r="H46" s="331"/>
      <c r="I46" s="331"/>
      <c r="J46" s="331"/>
      <c r="K46" s="331"/>
    </row>
    <row r="47" spans="3:11" ht="15">
      <c r="C47" s="331"/>
      <c r="D47" s="331"/>
      <c r="E47" s="331"/>
      <c r="F47" s="331"/>
      <c r="G47" s="331"/>
      <c r="H47" s="331"/>
      <c r="I47" s="331"/>
      <c r="J47" s="331"/>
      <c r="K47" s="331"/>
    </row>
    <row r="48" spans="3:11" ht="15">
      <c r="C48" s="331"/>
      <c r="D48" s="331"/>
      <c r="E48" s="331"/>
      <c r="F48" s="331"/>
      <c r="G48" s="331"/>
      <c r="H48" s="331"/>
      <c r="I48" s="331"/>
      <c r="J48" s="331"/>
      <c r="K48" s="331"/>
    </row>
    <row r="49" spans="3:11" ht="15">
      <c r="C49" s="331"/>
      <c r="D49" s="331"/>
      <c r="E49" s="331"/>
      <c r="F49" s="331"/>
      <c r="G49" s="331"/>
      <c r="H49" s="331"/>
      <c r="I49" s="331"/>
      <c r="J49" s="331"/>
      <c r="K49" s="331"/>
    </row>
    <row r="50" spans="3:11" ht="15">
      <c r="C50" s="331"/>
      <c r="D50" s="331"/>
      <c r="E50" s="331"/>
      <c r="F50" s="331"/>
      <c r="G50" s="331"/>
      <c r="H50" s="331"/>
      <c r="I50" s="331"/>
      <c r="J50" s="331"/>
      <c r="K50" s="331"/>
    </row>
    <row r="51" spans="3:11" ht="15">
      <c r="C51" s="331"/>
      <c r="D51" s="331"/>
      <c r="E51" s="331"/>
      <c r="F51" s="331"/>
      <c r="G51" s="331"/>
      <c r="H51" s="331"/>
      <c r="I51" s="331"/>
      <c r="J51" s="331"/>
      <c r="K51" s="331"/>
    </row>
    <row r="52" spans="3:11" ht="15">
      <c r="C52" s="331"/>
      <c r="D52" s="331"/>
      <c r="E52" s="331"/>
      <c r="F52" s="331"/>
      <c r="G52" s="331"/>
      <c r="H52" s="331"/>
      <c r="I52" s="331"/>
      <c r="J52" s="331"/>
      <c r="K52" s="331"/>
    </row>
    <row r="53" spans="3:11" ht="15">
      <c r="C53" s="331"/>
      <c r="D53" s="331"/>
      <c r="E53" s="331"/>
      <c r="F53" s="331"/>
      <c r="G53" s="331"/>
      <c r="H53" s="331"/>
      <c r="I53" s="331"/>
      <c r="J53" s="331"/>
      <c r="K53" s="331"/>
    </row>
    <row r="54" spans="3:11" ht="15">
      <c r="C54" s="331"/>
      <c r="D54" s="331"/>
      <c r="E54" s="331"/>
      <c r="F54" s="331"/>
      <c r="G54" s="331"/>
      <c r="H54" s="331"/>
      <c r="I54" s="331"/>
      <c r="J54" s="331"/>
      <c r="K54" s="331"/>
    </row>
    <row r="55" spans="3:11" ht="15">
      <c r="C55" s="331"/>
      <c r="D55" s="331"/>
      <c r="E55" s="331"/>
      <c r="F55" s="331"/>
      <c r="G55" s="331"/>
      <c r="H55" s="331"/>
      <c r="I55" s="331"/>
      <c r="J55" s="331"/>
      <c r="K55" s="331"/>
    </row>
    <row r="56" spans="3:11" ht="15">
      <c r="C56" s="331"/>
      <c r="D56" s="331"/>
      <c r="E56" s="331"/>
      <c r="F56" s="331"/>
      <c r="G56" s="331"/>
      <c r="H56" s="331"/>
      <c r="I56" s="331"/>
      <c r="J56" s="331"/>
      <c r="K56" s="331"/>
    </row>
    <row r="57" spans="3:11" ht="15">
      <c r="C57" s="331"/>
      <c r="D57" s="331"/>
      <c r="E57" s="331"/>
      <c r="F57" s="331"/>
      <c r="G57" s="331"/>
      <c r="H57" s="331"/>
      <c r="I57" s="331"/>
      <c r="J57" s="331"/>
      <c r="K57" s="331"/>
    </row>
    <row r="58" spans="3:11" ht="15">
      <c r="C58" s="331"/>
      <c r="D58" s="331"/>
      <c r="E58" s="331"/>
      <c r="F58" s="331"/>
      <c r="G58" s="331"/>
      <c r="H58" s="331"/>
      <c r="I58" s="331"/>
      <c r="J58" s="331"/>
      <c r="K58" s="331"/>
    </row>
    <row r="59" spans="3:11" ht="15">
      <c r="C59" s="331"/>
      <c r="D59" s="331"/>
      <c r="E59" s="331"/>
      <c r="F59" s="331"/>
      <c r="G59" s="331"/>
      <c r="H59" s="331"/>
      <c r="I59" s="331"/>
      <c r="J59" s="331"/>
      <c r="K59" s="331"/>
    </row>
    <row r="60" spans="3:11" ht="15">
      <c r="C60" s="331"/>
      <c r="D60" s="331"/>
      <c r="E60" s="331"/>
      <c r="F60" s="331"/>
      <c r="G60" s="331"/>
      <c r="H60" s="331"/>
      <c r="I60" s="331"/>
      <c r="J60" s="331"/>
      <c r="K60" s="331"/>
    </row>
    <row r="61" spans="3:11" ht="15">
      <c r="C61" s="331"/>
      <c r="D61" s="331"/>
      <c r="E61" s="331"/>
      <c r="F61" s="331"/>
      <c r="G61" s="331"/>
      <c r="H61" s="331"/>
      <c r="I61" s="331"/>
      <c r="J61" s="331"/>
      <c r="K61" s="331"/>
    </row>
    <row r="62" spans="4:9" ht="15">
      <c r="D62" s="331"/>
      <c r="E62" s="331"/>
      <c r="F62" s="331"/>
      <c r="G62" s="331"/>
      <c r="H62" s="331"/>
      <c r="I62" s="331"/>
    </row>
    <row r="63" spans="4:9" ht="15">
      <c r="D63" s="331"/>
      <c r="E63" s="331"/>
      <c r="F63" s="331"/>
      <c r="G63" s="331"/>
      <c r="H63" s="331"/>
      <c r="I63" s="331"/>
    </row>
    <row r="64" spans="4:9" ht="15">
      <c r="D64" s="331"/>
      <c r="E64" s="331"/>
      <c r="F64" s="331"/>
      <c r="G64" s="331"/>
      <c r="H64" s="331"/>
      <c r="I64" s="331"/>
    </row>
    <row r="65" spans="4:9" ht="15">
      <c r="D65" s="331"/>
      <c r="E65" s="331"/>
      <c r="F65" s="331"/>
      <c r="G65" s="331"/>
      <c r="H65" s="331"/>
      <c r="I65" s="331"/>
    </row>
    <row r="66" spans="4:9" ht="15">
      <c r="D66" s="331"/>
      <c r="E66" s="331"/>
      <c r="F66" s="331"/>
      <c r="G66" s="331"/>
      <c r="H66" s="331"/>
      <c r="I66" s="331"/>
    </row>
    <row r="67" spans="4:9" ht="15">
      <c r="D67" s="331"/>
      <c r="E67" s="331"/>
      <c r="F67" s="331"/>
      <c r="G67" s="331"/>
      <c r="H67" s="331"/>
      <c r="I67" s="331"/>
    </row>
    <row r="68" spans="4:9" ht="15">
      <c r="D68" s="331"/>
      <c r="E68" s="331"/>
      <c r="F68" s="331"/>
      <c r="G68" s="331"/>
      <c r="H68" s="331"/>
      <c r="I68" s="331"/>
    </row>
    <row r="69" spans="4:9" ht="15">
      <c r="D69" s="331"/>
      <c r="E69" s="331"/>
      <c r="F69" s="331"/>
      <c r="G69" s="331"/>
      <c r="H69" s="331"/>
      <c r="I69" s="331"/>
    </row>
    <row r="70" spans="4:9" ht="15">
      <c r="D70" s="331"/>
      <c r="E70" s="331"/>
      <c r="F70" s="331"/>
      <c r="G70" s="331"/>
      <c r="H70" s="331"/>
      <c r="I70" s="331"/>
    </row>
    <row r="71" spans="4:9" ht="15">
      <c r="D71" s="331"/>
      <c r="E71" s="331"/>
      <c r="F71" s="331"/>
      <c r="G71" s="331"/>
      <c r="H71" s="331"/>
      <c r="I71" s="331"/>
    </row>
    <row r="72" spans="4:9" ht="15">
      <c r="D72" s="331"/>
      <c r="E72" s="331"/>
      <c r="F72" s="331"/>
      <c r="G72" s="331"/>
      <c r="H72" s="331"/>
      <c r="I72" s="331"/>
    </row>
    <row r="73" spans="4:9" ht="15">
      <c r="D73" s="331"/>
      <c r="E73" s="331"/>
      <c r="F73" s="331"/>
      <c r="G73" s="331"/>
      <c r="H73" s="331"/>
      <c r="I73" s="331"/>
    </row>
    <row r="74" spans="4:9" ht="15">
      <c r="D74" s="331"/>
      <c r="E74" s="331"/>
      <c r="F74" s="331"/>
      <c r="G74" s="331"/>
      <c r="H74" s="331"/>
      <c r="I74" s="331"/>
    </row>
    <row r="75" spans="4:9" ht="15">
      <c r="D75" s="331"/>
      <c r="E75" s="331"/>
      <c r="F75" s="331"/>
      <c r="G75" s="331"/>
      <c r="H75" s="331"/>
      <c r="I75" s="331"/>
    </row>
    <row r="76" spans="4:9" ht="15">
      <c r="D76" s="331"/>
      <c r="E76" s="331"/>
      <c r="F76" s="331"/>
      <c r="G76" s="331"/>
      <c r="H76" s="331"/>
      <c r="I76" s="331"/>
    </row>
    <row r="77" spans="4:9" ht="15">
      <c r="D77" s="331"/>
      <c r="E77" s="331"/>
      <c r="F77" s="331"/>
      <c r="G77" s="331"/>
      <c r="H77" s="331"/>
      <c r="I77" s="331"/>
    </row>
    <row r="78" spans="4:9" ht="15">
      <c r="D78" s="331"/>
      <c r="E78" s="331"/>
      <c r="F78" s="331"/>
      <c r="G78" s="331"/>
      <c r="H78" s="331"/>
      <c r="I78" s="331"/>
    </row>
    <row r="79" spans="4:9" ht="15">
      <c r="D79" s="331"/>
      <c r="E79" s="331"/>
      <c r="F79" s="331"/>
      <c r="G79" s="331"/>
      <c r="H79" s="331"/>
      <c r="I79" s="331"/>
    </row>
    <row r="80" spans="4:9" ht="15">
      <c r="D80" s="331"/>
      <c r="E80" s="331"/>
      <c r="F80" s="331"/>
      <c r="G80" s="331"/>
      <c r="H80" s="331"/>
      <c r="I80" s="331"/>
    </row>
    <row r="81" spans="4:9" ht="15">
      <c r="D81" s="331"/>
      <c r="E81" s="331"/>
      <c r="F81" s="331"/>
      <c r="G81" s="331"/>
      <c r="H81" s="331"/>
      <c r="I81" s="331"/>
    </row>
    <row r="82" spans="4:9" ht="15">
      <c r="D82" s="331"/>
      <c r="E82" s="331"/>
      <c r="F82" s="331"/>
      <c r="G82" s="331"/>
      <c r="H82" s="331"/>
      <c r="I82" s="331"/>
    </row>
    <row r="83" spans="4:9" ht="15">
      <c r="D83" s="331"/>
      <c r="E83" s="331"/>
      <c r="F83" s="331"/>
      <c r="G83" s="331"/>
      <c r="H83" s="331"/>
      <c r="I83" s="331"/>
    </row>
  </sheetData>
  <sheetProtection/>
  <mergeCells count="8">
    <mergeCell ref="A4:I4"/>
    <mergeCell ref="A3:I3"/>
    <mergeCell ref="A5:I5"/>
    <mergeCell ref="D7:G7"/>
    <mergeCell ref="H7:I7"/>
    <mergeCell ref="A7:A8"/>
    <mergeCell ref="B7:B8"/>
    <mergeCell ref="C7:C8"/>
  </mergeCells>
  <printOptions horizontalCentered="1"/>
  <pageMargins left="0.1968503937007874" right="0.1968503937007874" top="0.7874015748031497" bottom="0.1968503937007874" header="0.3937007874015748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selection activeCell="K22" sqref="K22"/>
    </sheetView>
  </sheetViews>
  <sheetFormatPr defaultColWidth="9.00390625" defaultRowHeight="12.75"/>
  <cols>
    <col min="1" max="1" width="3.875" style="26" customWidth="1"/>
    <col min="2" max="2" width="32.375" style="26" bestFit="1" customWidth="1"/>
    <col min="3" max="3" width="16.875" style="26" customWidth="1"/>
    <col min="4" max="4" width="13.625" style="26" customWidth="1"/>
    <col min="5" max="6" width="11.25390625" style="26" customWidth="1"/>
    <col min="7" max="7" width="13.00390625" style="26" customWidth="1"/>
    <col min="8" max="9" width="12.375" style="26" customWidth="1"/>
    <col min="10" max="10" width="14.00390625" style="26" customWidth="1"/>
    <col min="11" max="11" width="12.625" style="26" customWidth="1"/>
    <col min="12" max="12" width="12.75390625" style="26" customWidth="1"/>
    <col min="13" max="13" width="13.00390625" style="26" customWidth="1"/>
    <col min="14" max="14" width="10.875" style="26" bestFit="1" customWidth="1"/>
    <col min="15" max="15" width="11.125" style="26" customWidth="1"/>
    <col min="16" max="16" width="7.75390625" style="26" customWidth="1"/>
    <col min="17" max="16384" width="9.125" style="26" customWidth="1"/>
  </cols>
  <sheetData>
    <row r="1" spans="1:13" ht="15.75">
      <c r="A1" s="384" t="s">
        <v>1</v>
      </c>
      <c r="M1" s="26" t="s">
        <v>115</v>
      </c>
    </row>
    <row r="3" spans="1:16" ht="12.75">
      <c r="A3" s="823" t="s">
        <v>670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27"/>
      <c r="O3" s="27"/>
      <c r="P3" s="27"/>
    </row>
    <row r="4" spans="1:15" ht="12.75">
      <c r="A4" s="817" t="s">
        <v>108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29"/>
      <c r="O4" s="30"/>
    </row>
    <row r="5" spans="1:15" ht="12.75">
      <c r="A5" s="818" t="s">
        <v>107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29"/>
      <c r="O5" s="30"/>
    </row>
    <row r="6" spans="1:15" ht="13.5" thickBo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5"/>
      <c r="O6" s="36"/>
    </row>
    <row r="7" spans="1:15" ht="12.75" customHeight="1" thickTop="1">
      <c r="A7" s="819" t="s">
        <v>41</v>
      </c>
      <c r="B7" s="821" t="s">
        <v>577</v>
      </c>
      <c r="C7" s="821" t="s">
        <v>116</v>
      </c>
      <c r="D7" s="350"/>
      <c r="E7" s="824" t="s">
        <v>6</v>
      </c>
      <c r="F7" s="824"/>
      <c r="G7" s="824"/>
      <c r="H7" s="824"/>
      <c r="I7" s="824"/>
      <c r="J7" s="824"/>
      <c r="K7" s="350"/>
      <c r="L7" s="824" t="s">
        <v>7</v>
      </c>
      <c r="M7" s="825"/>
      <c r="N7" s="31"/>
      <c r="O7" s="31"/>
    </row>
    <row r="8" spans="1:15" ht="77.25" customHeight="1" thickBot="1">
      <c r="A8" s="820"/>
      <c r="B8" s="822"/>
      <c r="C8" s="822"/>
      <c r="D8" s="352" t="s">
        <v>117</v>
      </c>
      <c r="E8" s="352" t="s">
        <v>6</v>
      </c>
      <c r="F8" s="352" t="s">
        <v>374</v>
      </c>
      <c r="G8" s="352" t="s">
        <v>388</v>
      </c>
      <c r="H8" s="352" t="s">
        <v>12</v>
      </c>
      <c r="I8" s="352" t="s">
        <v>376</v>
      </c>
      <c r="J8" s="352" t="s">
        <v>76</v>
      </c>
      <c r="K8" s="352" t="s">
        <v>389</v>
      </c>
      <c r="L8" s="352" t="s">
        <v>7</v>
      </c>
      <c r="M8" s="353" t="s">
        <v>118</v>
      </c>
      <c r="N8" s="31"/>
      <c r="O8" s="31"/>
    </row>
    <row r="9" spans="1:19" ht="24.75" customHeight="1" thickTop="1">
      <c r="A9" s="351">
        <v>1</v>
      </c>
      <c r="B9" s="354" t="s">
        <v>119</v>
      </c>
      <c r="C9" s="693">
        <f>+'7.sz.int.kiad.  '!C9</f>
        <v>650177844</v>
      </c>
      <c r="D9" s="693">
        <f>SUM(C9)-SUM(E9:M9)</f>
        <v>646367844</v>
      </c>
      <c r="E9" s="355">
        <f>1500000+1500000</f>
        <v>3000000</v>
      </c>
      <c r="F9" s="355"/>
      <c r="G9" s="355"/>
      <c r="H9" s="355">
        <v>810000</v>
      </c>
      <c r="I9" s="355"/>
      <c r="J9" s="355"/>
      <c r="K9" s="355"/>
      <c r="L9" s="355"/>
      <c r="M9" s="355"/>
      <c r="N9" s="37"/>
      <c r="O9" s="37"/>
      <c r="P9" s="31"/>
      <c r="Q9" s="32"/>
      <c r="S9" s="32"/>
    </row>
    <row r="10" spans="1:19" ht="24.75" customHeight="1">
      <c r="A10" s="356">
        <v>2</v>
      </c>
      <c r="B10" s="303" t="s">
        <v>204</v>
      </c>
      <c r="C10" s="357">
        <f>+'7.sz.int.kiad.  '!C10</f>
        <v>2382318000</v>
      </c>
      <c r="D10" s="357">
        <f>+C10-E10-F10-G10-H10-I10-J10-K10-L10-M10</f>
        <v>2050154000</v>
      </c>
      <c r="E10" s="357">
        <v>4056000</v>
      </c>
      <c r="F10" s="357">
        <v>240516000</v>
      </c>
      <c r="G10" s="357"/>
      <c r="H10" s="357">
        <v>65054000</v>
      </c>
      <c r="I10" s="357">
        <v>22538000</v>
      </c>
      <c r="J10" s="357"/>
      <c r="K10" s="357"/>
      <c r="L10" s="357"/>
      <c r="M10" s="357"/>
      <c r="N10" s="37"/>
      <c r="O10" s="37"/>
      <c r="P10" s="31"/>
      <c r="Q10" s="32"/>
      <c r="S10" s="32"/>
    </row>
    <row r="11" spans="1:19" ht="24.75" customHeight="1">
      <c r="A11" s="356">
        <v>3</v>
      </c>
      <c r="B11" s="303" t="s">
        <v>113</v>
      </c>
      <c r="C11" s="357">
        <f>+'7.sz.int.kiad.  '!C11</f>
        <v>15847000</v>
      </c>
      <c r="D11" s="357">
        <f>+C11-E11-F11-G11-H11-I11-J11-K11-L11-M11</f>
        <v>13847000</v>
      </c>
      <c r="E11" s="298">
        <v>2000000</v>
      </c>
      <c r="F11" s="298"/>
      <c r="G11" s="298"/>
      <c r="H11" s="298"/>
      <c r="I11" s="298"/>
      <c r="J11" s="298"/>
      <c r="K11" s="298"/>
      <c r="L11" s="298"/>
      <c r="M11" s="298"/>
      <c r="N11" s="37"/>
      <c r="O11" s="37"/>
      <c r="P11" s="31"/>
      <c r="Q11" s="32"/>
      <c r="S11" s="32"/>
    </row>
    <row r="12" spans="1:17" ht="24.75" customHeight="1" thickBot="1">
      <c r="A12" s="358">
        <v>4</v>
      </c>
      <c r="B12" s="359" t="s">
        <v>673</v>
      </c>
      <c r="C12" s="357">
        <f>+'7.sz.int.kiad.  '!C12</f>
        <v>9843000</v>
      </c>
      <c r="D12" s="694">
        <f>+C12-E12-F12-G12-H12-I12-J12-K12-L12-M12</f>
        <v>9663000</v>
      </c>
      <c r="E12" s="299">
        <v>180000</v>
      </c>
      <c r="F12" s="299"/>
      <c r="G12" s="299"/>
      <c r="H12" s="299"/>
      <c r="I12" s="299"/>
      <c r="J12" s="299"/>
      <c r="K12" s="299"/>
      <c r="L12" s="299"/>
      <c r="M12" s="299"/>
      <c r="N12" s="37"/>
      <c r="O12" s="37"/>
      <c r="P12" s="31"/>
      <c r="Q12" s="32"/>
    </row>
    <row r="13" spans="1:17" ht="24.75" customHeight="1" thickBot="1" thickTop="1">
      <c r="A13" s="360"/>
      <c r="B13" s="361" t="s">
        <v>114</v>
      </c>
      <c r="C13" s="362">
        <f>SUM(C9:C12)</f>
        <v>3058185844</v>
      </c>
      <c r="D13" s="363">
        <f>SUM(D9:D12)</f>
        <v>2720031844</v>
      </c>
      <c r="E13" s="363">
        <f>SUM(E9:E12)</f>
        <v>9236000</v>
      </c>
      <c r="F13" s="363">
        <f>SUM(F9:F12)</f>
        <v>240516000</v>
      </c>
      <c r="G13" s="363"/>
      <c r="H13" s="363">
        <f>SUM(H9:H12)</f>
        <v>65864000</v>
      </c>
      <c r="I13" s="363">
        <f>SUM(I9:I12)</f>
        <v>22538000</v>
      </c>
      <c r="J13" s="363"/>
      <c r="K13" s="363"/>
      <c r="L13" s="363"/>
      <c r="M13" s="364"/>
      <c r="N13" s="37"/>
      <c r="O13" s="37"/>
      <c r="P13" s="31"/>
      <c r="Q13" s="32"/>
    </row>
    <row r="14" spans="3:16" ht="24.75" customHeight="1" thickTop="1">
      <c r="C14" s="34"/>
      <c r="N14" s="37"/>
      <c r="O14" s="37"/>
      <c r="P14" s="31"/>
    </row>
    <row r="15" spans="2:15" ht="24.75" customHeight="1">
      <c r="B15" s="32"/>
      <c r="C15" s="38"/>
      <c r="N15" s="37"/>
      <c r="O15" s="37"/>
    </row>
    <row r="16" spans="3:15" ht="12.75">
      <c r="C16" s="38"/>
      <c r="N16" s="37"/>
      <c r="O16" s="37"/>
    </row>
    <row r="17" spans="3:15" ht="12.75">
      <c r="C17" s="33"/>
      <c r="N17" s="37"/>
      <c r="O17" s="37"/>
    </row>
    <row r="18" spans="2:15" ht="12.75">
      <c r="B18" s="32"/>
      <c r="C18" s="33"/>
      <c r="L18" s="32"/>
      <c r="M18" s="32"/>
      <c r="N18" s="37"/>
      <c r="O18" s="37"/>
    </row>
    <row r="19" spans="2:15" ht="12.75">
      <c r="B19" s="32"/>
      <c r="C19" s="33"/>
      <c r="N19" s="37"/>
      <c r="O19" s="37"/>
    </row>
    <row r="20" spans="3:15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7"/>
    </row>
    <row r="21" spans="3:15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7"/>
      <c r="O21" s="37"/>
    </row>
    <row r="22" spans="3:15" ht="6.7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7"/>
      <c r="O22" s="37"/>
    </row>
    <row r="23" spans="3:15" ht="12.75" hidden="1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7"/>
      <c r="O23" s="37"/>
    </row>
    <row r="24" spans="3:15" ht="12.75" hidden="1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7"/>
      <c r="O24" s="37"/>
    </row>
    <row r="25" spans="2:15" ht="12.7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7"/>
      <c r="O25" s="37"/>
    </row>
    <row r="26" spans="3:15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7"/>
      <c r="O26" s="37"/>
    </row>
    <row r="27" spans="3:15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7"/>
      <c r="O27" s="37"/>
    </row>
    <row r="28" spans="3:15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  <c r="O28" s="37"/>
    </row>
    <row r="29" spans="3:15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7"/>
    </row>
    <row r="30" spans="3:15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7"/>
    </row>
    <row r="31" spans="3:15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7"/>
    </row>
    <row r="32" spans="3:15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7"/>
    </row>
    <row r="33" spans="3:15" ht="12.7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7"/>
    </row>
    <row r="34" spans="4:15" ht="12.75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7"/>
    </row>
    <row r="35" spans="3:15" ht="12.7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7"/>
    </row>
    <row r="36" spans="3:15" ht="12.7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7"/>
    </row>
    <row r="37" spans="3:15" ht="12.7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7"/>
    </row>
    <row r="38" spans="3:15" ht="12.7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7"/>
    </row>
    <row r="39" spans="3:15" ht="12.7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7"/>
    </row>
    <row r="40" spans="3:15" ht="12.7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7"/>
    </row>
    <row r="41" spans="3:15" ht="12.7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7"/>
    </row>
    <row r="42" spans="3:15" ht="12.7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/>
    </row>
    <row r="43" spans="3:15" ht="12.7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7"/>
    </row>
    <row r="44" spans="3:15" ht="12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7"/>
    </row>
    <row r="45" spans="3:15" ht="12.7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7"/>
    </row>
    <row r="46" spans="3:15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/>
    </row>
    <row r="47" spans="3:15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7"/>
    </row>
    <row r="48" spans="3:15" ht="12.7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7"/>
    </row>
    <row r="49" spans="3:15" ht="12.7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7"/>
    </row>
    <row r="50" spans="3:15" ht="12.7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7"/>
    </row>
    <row r="51" spans="3:15" ht="12.7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7"/>
    </row>
    <row r="52" spans="3:15" ht="12.7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7"/>
    </row>
    <row r="53" spans="3:15" ht="12.7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7"/>
    </row>
    <row r="54" spans="3:15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7"/>
    </row>
    <row r="55" spans="3:15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3:15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7"/>
    </row>
    <row r="57" spans="3:15" ht="12.7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3:15" ht="12.7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3:15" ht="12.7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3:15" ht="12.7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3:15" ht="12.7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3:15" ht="12.7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3:15" ht="12.7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3:15" ht="12.7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3:15" ht="12.7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3:15" ht="12.7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3:15" ht="12.7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3:15" ht="12.7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3:15" ht="12.7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3:15" ht="12.7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3:15" ht="12.7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3:15" ht="12.7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3:15" ht="12.7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3:15" ht="12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3:15" ht="12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3:15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3:15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3:15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3:15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3:15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3:15" ht="12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3:15" ht="12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3:15" ht="12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</sheetData>
  <sheetProtection selectLockedCells="1" selectUnlockedCells="1"/>
  <mergeCells count="8">
    <mergeCell ref="A4:M4"/>
    <mergeCell ref="A5:M5"/>
    <mergeCell ref="A7:A8"/>
    <mergeCell ref="B7:B8"/>
    <mergeCell ref="C7:C8"/>
    <mergeCell ref="A3:M3"/>
    <mergeCell ref="E7:J7"/>
    <mergeCell ref="L7:M7"/>
  </mergeCells>
  <printOptions horizontalCentered="1"/>
  <pageMargins left="0.1968503937007874" right="0.1968503937007874" top="0.31496062992125984" bottom="0.31496062992125984" header="0.5118110236220472" footer="0.5118110236220472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3">
      <selection activeCell="B29" sqref="B29"/>
    </sheetView>
  </sheetViews>
  <sheetFormatPr defaultColWidth="9.00390625" defaultRowHeight="12.75"/>
  <cols>
    <col min="1" max="1" width="11.375" style="381" customWidth="1"/>
    <col min="2" max="2" width="76.875" style="39" customWidth="1"/>
    <col min="3" max="3" width="17.25390625" style="44" customWidth="1"/>
    <col min="4" max="16384" width="9.125" style="39" customWidth="1"/>
  </cols>
  <sheetData>
    <row r="1" spans="1:3" ht="15.75">
      <c r="A1" s="366" t="s">
        <v>1</v>
      </c>
      <c r="C1" s="365" t="s">
        <v>578</v>
      </c>
    </row>
    <row r="2" spans="1:3" ht="15.75">
      <c r="A2" s="366"/>
      <c r="C2" s="365"/>
    </row>
    <row r="3" spans="1:3" ht="15.75">
      <c r="A3" s="829" t="s">
        <v>579</v>
      </c>
      <c r="B3" s="829"/>
      <c r="C3" s="829"/>
    </row>
    <row r="4" ht="16.5" thickBot="1"/>
    <row r="5" spans="1:3" ht="77.25" customHeight="1" thickBot="1" thickTop="1">
      <c r="A5" s="696" t="s">
        <v>746</v>
      </c>
      <c r="B5" s="695" t="s">
        <v>134</v>
      </c>
      <c r="C5" s="459" t="s">
        <v>613</v>
      </c>
    </row>
    <row r="6" spans="1:3" ht="19.5" customHeight="1" thickTop="1">
      <c r="A6" s="377"/>
      <c r="B6" s="378" t="s">
        <v>582</v>
      </c>
      <c r="C6" s="379"/>
    </row>
    <row r="7" spans="1:3" ht="18" customHeight="1">
      <c r="A7" s="382"/>
      <c r="B7" s="376" t="s">
        <v>135</v>
      </c>
      <c r="C7" s="374">
        <f>SUM(C8:C9)</f>
        <v>13861000</v>
      </c>
    </row>
    <row r="8" spans="1:3" ht="18" customHeight="1">
      <c r="A8" s="368" t="s">
        <v>486</v>
      </c>
      <c r="B8" s="305" t="s">
        <v>136</v>
      </c>
      <c r="C8" s="370">
        <v>12861000</v>
      </c>
    </row>
    <row r="9" spans="1:3" ht="18" customHeight="1">
      <c r="A9" s="250" t="s">
        <v>487</v>
      </c>
      <c r="B9" s="305" t="s">
        <v>137</v>
      </c>
      <c r="C9" s="370">
        <v>1000000</v>
      </c>
    </row>
    <row r="10" spans="1:3" ht="18" customHeight="1">
      <c r="A10" s="250"/>
      <c r="B10" s="306"/>
      <c r="C10" s="370"/>
    </row>
    <row r="11" spans="1:3" ht="18" customHeight="1">
      <c r="A11" s="301"/>
      <c r="B11" s="371" t="s">
        <v>138</v>
      </c>
      <c r="C11" s="374">
        <f>SUM(C12:C13)</f>
        <v>3100000</v>
      </c>
    </row>
    <row r="12" spans="1:3" ht="18" customHeight="1">
      <c r="A12" s="368" t="s">
        <v>486</v>
      </c>
      <c r="B12" s="305" t="s">
        <v>139</v>
      </c>
      <c r="C12" s="370">
        <v>600000</v>
      </c>
    </row>
    <row r="13" spans="1:3" ht="18" customHeight="1">
      <c r="A13" s="250" t="s">
        <v>486</v>
      </c>
      <c r="B13" s="305" t="s">
        <v>140</v>
      </c>
      <c r="C13" s="370">
        <v>2500000</v>
      </c>
    </row>
    <row r="14" spans="1:3" ht="18" customHeight="1">
      <c r="A14" s="250"/>
      <c r="B14" s="306"/>
      <c r="C14" s="370"/>
    </row>
    <row r="15" spans="1:3" ht="18" customHeight="1">
      <c r="A15" s="301"/>
      <c r="B15" s="371" t="s">
        <v>141</v>
      </c>
      <c r="C15" s="374">
        <f>SUM(C16:C41)</f>
        <v>39395000</v>
      </c>
    </row>
    <row r="16" spans="1:3" ht="18" customHeight="1">
      <c r="A16" s="368" t="s">
        <v>487</v>
      </c>
      <c r="B16" s="305" t="s">
        <v>142</v>
      </c>
      <c r="C16" s="370">
        <v>16000000</v>
      </c>
    </row>
    <row r="17" spans="1:3" ht="18" customHeight="1">
      <c r="A17" s="368" t="s">
        <v>487</v>
      </c>
      <c r="B17" s="305" t="s">
        <v>143</v>
      </c>
      <c r="C17" s="370">
        <v>350000</v>
      </c>
    </row>
    <row r="18" spans="1:3" ht="18" customHeight="1">
      <c r="A18" s="368" t="s">
        <v>487</v>
      </c>
      <c r="B18" s="305" t="s">
        <v>351</v>
      </c>
      <c r="C18" s="370">
        <v>375000</v>
      </c>
    </row>
    <row r="19" spans="1:3" ht="18" customHeight="1">
      <c r="A19" s="368" t="s">
        <v>487</v>
      </c>
      <c r="B19" s="305" t="s">
        <v>144</v>
      </c>
      <c r="C19" s="370">
        <v>6000000</v>
      </c>
    </row>
    <row r="20" spans="1:3" ht="18" customHeight="1">
      <c r="A20" s="368" t="s">
        <v>487</v>
      </c>
      <c r="B20" s="305" t="s">
        <v>149</v>
      </c>
      <c r="C20" s="370">
        <v>50000</v>
      </c>
    </row>
    <row r="21" spans="1:3" ht="18" customHeight="1">
      <c r="A21" s="368" t="s">
        <v>487</v>
      </c>
      <c r="B21" s="300" t="s">
        <v>150</v>
      </c>
      <c r="C21" s="370">
        <v>25000</v>
      </c>
    </row>
    <row r="22" spans="1:3" ht="18" customHeight="1">
      <c r="A22" s="368" t="s">
        <v>487</v>
      </c>
      <c r="B22" s="305" t="s">
        <v>614</v>
      </c>
      <c r="C22" s="370">
        <v>800000</v>
      </c>
    </row>
    <row r="23" spans="1:3" ht="18" customHeight="1">
      <c r="A23" s="368" t="s">
        <v>487</v>
      </c>
      <c r="B23" s="305" t="s">
        <v>151</v>
      </c>
      <c r="C23" s="370">
        <v>850000</v>
      </c>
    </row>
    <row r="24" spans="1:3" ht="18" customHeight="1">
      <c r="A24" s="368" t="s">
        <v>487</v>
      </c>
      <c r="B24" s="305" t="s">
        <v>152</v>
      </c>
      <c r="C24" s="370">
        <v>600000</v>
      </c>
    </row>
    <row r="25" spans="1:3" ht="18" customHeight="1">
      <c r="A25" s="368" t="s">
        <v>487</v>
      </c>
      <c r="B25" s="305" t="s">
        <v>153</v>
      </c>
      <c r="C25" s="370">
        <v>550000</v>
      </c>
    </row>
    <row r="26" spans="1:3" ht="18" customHeight="1">
      <c r="A26" s="368" t="s">
        <v>487</v>
      </c>
      <c r="B26" s="305" t="s">
        <v>154</v>
      </c>
      <c r="C26" s="370">
        <v>650000</v>
      </c>
    </row>
    <row r="27" spans="1:3" ht="18" customHeight="1">
      <c r="A27" s="368" t="s">
        <v>487</v>
      </c>
      <c r="B27" s="305" t="s">
        <v>155</v>
      </c>
      <c r="C27" s="370">
        <v>850000</v>
      </c>
    </row>
    <row r="28" spans="1:3" ht="18" customHeight="1">
      <c r="A28" s="368" t="s">
        <v>487</v>
      </c>
      <c r="B28" s="305" t="s">
        <v>156</v>
      </c>
      <c r="C28" s="370">
        <v>650000</v>
      </c>
    </row>
    <row r="29" spans="1:3" ht="18" customHeight="1">
      <c r="A29" s="368" t="s">
        <v>487</v>
      </c>
      <c r="B29" s="305" t="s">
        <v>793</v>
      </c>
      <c r="C29" s="370">
        <v>2500000</v>
      </c>
    </row>
    <row r="30" spans="1:3" ht="18" customHeight="1">
      <c r="A30" s="368" t="s">
        <v>487</v>
      </c>
      <c r="B30" s="305" t="s">
        <v>145</v>
      </c>
      <c r="C30" s="370">
        <v>50000</v>
      </c>
    </row>
    <row r="31" spans="1:3" ht="18" customHeight="1">
      <c r="A31" s="368" t="s">
        <v>487</v>
      </c>
      <c r="B31" s="305" t="s">
        <v>146</v>
      </c>
      <c r="C31" s="370">
        <v>50000</v>
      </c>
    </row>
    <row r="32" spans="1:3" ht="18" customHeight="1">
      <c r="A32" s="368" t="s">
        <v>487</v>
      </c>
      <c r="B32" s="305" t="s">
        <v>147</v>
      </c>
      <c r="C32" s="370">
        <v>100000</v>
      </c>
    </row>
    <row r="33" spans="1:3" ht="18" customHeight="1">
      <c r="A33" s="368" t="s">
        <v>487</v>
      </c>
      <c r="B33" s="305" t="s">
        <v>350</v>
      </c>
      <c r="C33" s="370">
        <v>50000</v>
      </c>
    </row>
    <row r="34" spans="1:3" ht="18" customHeight="1">
      <c r="A34" s="368" t="s">
        <v>487</v>
      </c>
      <c r="B34" s="305" t="s">
        <v>148</v>
      </c>
      <c r="C34" s="370">
        <v>75000</v>
      </c>
    </row>
    <row r="35" spans="1:3" ht="18" customHeight="1">
      <c r="A35" s="368" t="s">
        <v>487</v>
      </c>
      <c r="B35" s="305" t="s">
        <v>401</v>
      </c>
      <c r="C35" s="370">
        <v>7500000</v>
      </c>
    </row>
    <row r="36" spans="1:3" s="41" customFormat="1" ht="18" customHeight="1">
      <c r="A36" s="368" t="s">
        <v>487</v>
      </c>
      <c r="B36" s="305" t="s">
        <v>398</v>
      </c>
      <c r="C36" s="370">
        <v>100000</v>
      </c>
    </row>
    <row r="37" spans="1:3" ht="18" customHeight="1">
      <c r="A37" s="368" t="s">
        <v>487</v>
      </c>
      <c r="B37" s="301" t="s">
        <v>157</v>
      </c>
      <c r="C37" s="302"/>
    </row>
    <row r="38" spans="1:3" ht="18" customHeight="1">
      <c r="A38" s="250"/>
      <c r="B38" s="372" t="s">
        <v>615</v>
      </c>
      <c r="C38" s="370">
        <v>730000</v>
      </c>
    </row>
    <row r="39" spans="1:3" ht="18" customHeight="1">
      <c r="A39" s="250"/>
      <c r="B39" s="372" t="s">
        <v>616</v>
      </c>
      <c r="C39" s="370">
        <v>200000</v>
      </c>
    </row>
    <row r="40" spans="1:3" ht="18" customHeight="1">
      <c r="A40" s="250"/>
      <c r="B40" s="372" t="s">
        <v>617</v>
      </c>
      <c r="C40" s="370">
        <v>100000</v>
      </c>
    </row>
    <row r="41" spans="1:3" ht="18" customHeight="1">
      <c r="A41" s="250"/>
      <c r="B41" s="372" t="s">
        <v>618</v>
      </c>
      <c r="C41" s="370">
        <v>190000</v>
      </c>
    </row>
    <row r="42" spans="1:3" ht="18" customHeight="1">
      <c r="A42" s="250"/>
      <c r="B42" s="302"/>
      <c r="C42" s="370"/>
    </row>
    <row r="43" spans="1:3" ht="18" customHeight="1">
      <c r="A43" s="301"/>
      <c r="B43" s="373" t="s">
        <v>162</v>
      </c>
      <c r="C43" s="374">
        <f>SUM(C44:C61)</f>
        <v>87480000</v>
      </c>
    </row>
    <row r="44" spans="1:3" ht="18" customHeight="1">
      <c r="A44" s="368" t="s">
        <v>487</v>
      </c>
      <c r="B44" s="304" t="s">
        <v>163</v>
      </c>
      <c r="C44" s="370">
        <v>2000000</v>
      </c>
    </row>
    <row r="45" spans="1:3" ht="18" customHeight="1">
      <c r="A45" s="368" t="s">
        <v>487</v>
      </c>
      <c r="B45" s="304" t="s">
        <v>164</v>
      </c>
      <c r="C45" s="370">
        <v>80000000</v>
      </c>
    </row>
    <row r="46" spans="1:3" ht="18" customHeight="1">
      <c r="A46" s="368" t="s">
        <v>487</v>
      </c>
      <c r="B46" s="304" t="s">
        <v>175</v>
      </c>
      <c r="C46" s="370">
        <v>100000</v>
      </c>
    </row>
    <row r="47" spans="1:3" ht="18" customHeight="1">
      <c r="A47" s="368" t="s">
        <v>487</v>
      </c>
      <c r="B47" s="304" t="s">
        <v>622</v>
      </c>
      <c r="C47" s="370">
        <v>100000</v>
      </c>
    </row>
    <row r="48" spans="1:3" ht="18" customHeight="1">
      <c r="A48" s="368" t="s">
        <v>487</v>
      </c>
      <c r="B48" s="304" t="s">
        <v>165</v>
      </c>
      <c r="C48" s="370">
        <v>50000</v>
      </c>
    </row>
    <row r="49" spans="1:3" ht="18" customHeight="1">
      <c r="A49" s="368" t="s">
        <v>487</v>
      </c>
      <c r="B49" s="304" t="s">
        <v>166</v>
      </c>
      <c r="C49" s="370">
        <v>850000</v>
      </c>
    </row>
    <row r="50" spans="1:3" ht="18" customHeight="1">
      <c r="A50" s="368" t="s">
        <v>487</v>
      </c>
      <c r="B50" s="304" t="s">
        <v>623</v>
      </c>
      <c r="C50" s="370">
        <v>50000</v>
      </c>
    </row>
    <row r="51" spans="1:3" ht="18" customHeight="1">
      <c r="A51" s="368" t="s">
        <v>487</v>
      </c>
      <c r="B51" s="304" t="s">
        <v>624</v>
      </c>
      <c r="C51" s="370">
        <v>50000</v>
      </c>
    </row>
    <row r="52" spans="1:3" ht="18" customHeight="1">
      <c r="A52" s="368" t="s">
        <v>487</v>
      </c>
      <c r="B52" s="304" t="s">
        <v>167</v>
      </c>
      <c r="C52" s="370">
        <v>80000</v>
      </c>
    </row>
    <row r="53" spans="1:3" ht="18" customHeight="1">
      <c r="A53" s="368" t="s">
        <v>487</v>
      </c>
      <c r="B53" s="304" t="s">
        <v>625</v>
      </c>
      <c r="C53" s="370">
        <v>50000</v>
      </c>
    </row>
    <row r="54" spans="1:3" ht="18" customHeight="1">
      <c r="A54" s="368" t="s">
        <v>487</v>
      </c>
      <c r="B54" s="304" t="s">
        <v>168</v>
      </c>
      <c r="C54" s="370">
        <v>100000</v>
      </c>
    </row>
    <row r="55" spans="1:3" ht="18" customHeight="1">
      <c r="A55" s="368" t="s">
        <v>487</v>
      </c>
      <c r="B55" s="304" t="s">
        <v>169</v>
      </c>
      <c r="C55" s="370">
        <v>100000</v>
      </c>
    </row>
    <row r="56" spans="1:3" ht="18" customHeight="1">
      <c r="A56" s="368" t="s">
        <v>487</v>
      </c>
      <c r="B56" s="304" t="s">
        <v>170</v>
      </c>
      <c r="C56" s="370">
        <v>700000</v>
      </c>
    </row>
    <row r="57" spans="1:3" ht="18" customHeight="1">
      <c r="A57" s="368" t="s">
        <v>487</v>
      </c>
      <c r="B57" s="304" t="s">
        <v>171</v>
      </c>
      <c r="C57" s="370">
        <v>50000</v>
      </c>
    </row>
    <row r="58" spans="1:3" ht="18" customHeight="1">
      <c r="A58" s="368" t="s">
        <v>487</v>
      </c>
      <c r="B58" s="304" t="s">
        <v>172</v>
      </c>
      <c r="C58" s="370">
        <v>600000</v>
      </c>
    </row>
    <row r="59" spans="1:3" ht="18" customHeight="1">
      <c r="A59" s="368" t="s">
        <v>487</v>
      </c>
      <c r="B59" s="304" t="s">
        <v>174</v>
      </c>
      <c r="C59" s="370">
        <v>1500000</v>
      </c>
    </row>
    <row r="60" spans="1:3" ht="18" customHeight="1">
      <c r="A60" s="368" t="s">
        <v>487</v>
      </c>
      <c r="B60" s="304" t="s">
        <v>173</v>
      </c>
      <c r="C60" s="370">
        <v>100000</v>
      </c>
    </row>
    <row r="61" spans="1:3" ht="18" customHeight="1">
      <c r="A61" s="368" t="s">
        <v>487</v>
      </c>
      <c r="B61" s="304" t="s">
        <v>176</v>
      </c>
      <c r="C61" s="370">
        <v>1000000</v>
      </c>
    </row>
    <row r="62" spans="1:3" ht="18" customHeight="1">
      <c r="A62" s="368"/>
      <c r="B62" s="307"/>
      <c r="C62" s="370"/>
    </row>
    <row r="63" spans="1:3" ht="18" customHeight="1">
      <c r="A63" s="301"/>
      <c r="B63" s="371" t="s">
        <v>177</v>
      </c>
      <c r="C63" s="374">
        <f>SUM(C64:C72)</f>
        <v>23417684</v>
      </c>
    </row>
    <row r="64" spans="1:3" ht="18" customHeight="1">
      <c r="A64" s="368" t="s">
        <v>486</v>
      </c>
      <c r="B64" s="305" t="s">
        <v>178</v>
      </c>
      <c r="C64" s="370">
        <v>4885644</v>
      </c>
    </row>
    <row r="65" spans="1:3" ht="18" customHeight="1">
      <c r="A65" s="368" t="s">
        <v>486</v>
      </c>
      <c r="B65" s="305" t="s">
        <v>179</v>
      </c>
      <c r="C65" s="370">
        <v>16372040</v>
      </c>
    </row>
    <row r="66" spans="1:3" ht="18" customHeight="1">
      <c r="A66" s="368" t="s">
        <v>487</v>
      </c>
      <c r="B66" s="305" t="s">
        <v>400</v>
      </c>
      <c r="C66" s="370">
        <v>50000</v>
      </c>
    </row>
    <row r="67" spans="1:3" ht="18" customHeight="1">
      <c r="A67" s="368" t="s">
        <v>487</v>
      </c>
      <c r="B67" s="305" t="s">
        <v>626</v>
      </c>
      <c r="C67" s="370">
        <v>100000</v>
      </c>
    </row>
    <row r="68" spans="1:3" ht="18" customHeight="1">
      <c r="A68" s="368" t="s">
        <v>487</v>
      </c>
      <c r="B68" s="305" t="s">
        <v>399</v>
      </c>
      <c r="C68" s="370">
        <v>50000</v>
      </c>
    </row>
    <row r="69" spans="1:3" ht="18" customHeight="1">
      <c r="A69" s="368" t="s">
        <v>486</v>
      </c>
      <c r="B69" s="305" t="s">
        <v>180</v>
      </c>
      <c r="C69" s="370">
        <v>960000</v>
      </c>
    </row>
    <row r="70" spans="1:3" ht="18" customHeight="1">
      <c r="A70" s="368" t="s">
        <v>486</v>
      </c>
      <c r="B70" s="305" t="s">
        <v>182</v>
      </c>
      <c r="C70" s="370">
        <v>750000</v>
      </c>
    </row>
    <row r="71" spans="1:3" ht="18" customHeight="1">
      <c r="A71" s="368" t="s">
        <v>487</v>
      </c>
      <c r="B71" s="300" t="s">
        <v>181</v>
      </c>
      <c r="C71" s="370">
        <v>50000</v>
      </c>
    </row>
    <row r="72" spans="1:3" ht="18" customHeight="1">
      <c r="A72" s="368" t="s">
        <v>487</v>
      </c>
      <c r="B72" s="305" t="s">
        <v>183</v>
      </c>
      <c r="C72" s="370">
        <v>200000</v>
      </c>
    </row>
    <row r="73" spans="1:3" ht="18" customHeight="1">
      <c r="A73" s="826" t="s">
        <v>580</v>
      </c>
      <c r="B73" s="826"/>
      <c r="C73" s="375">
        <f>SUM(C7+C11+C43+C63+C15)</f>
        <v>167253684</v>
      </c>
    </row>
    <row r="74" spans="1:3" ht="18" customHeight="1">
      <c r="A74" s="578"/>
      <c r="B74" s="579"/>
      <c r="C74" s="580"/>
    </row>
    <row r="75" spans="1:3" ht="18" customHeight="1">
      <c r="A75" s="301"/>
      <c r="B75" s="572" t="s">
        <v>184</v>
      </c>
      <c r="C75" s="367"/>
    </row>
    <row r="76" spans="1:3" ht="18" customHeight="1">
      <c r="A76" s="368" t="s">
        <v>487</v>
      </c>
      <c r="B76" s="573" t="s">
        <v>356</v>
      </c>
      <c r="C76" s="369">
        <f>42062683+9745404</f>
        <v>51808087</v>
      </c>
    </row>
    <row r="77" spans="1:3" ht="18" customHeight="1">
      <c r="A77" s="368" t="s">
        <v>487</v>
      </c>
      <c r="B77" s="573" t="s">
        <v>349</v>
      </c>
      <c r="C77" s="369">
        <v>80000</v>
      </c>
    </row>
    <row r="78" spans="1:3" ht="18" customHeight="1">
      <c r="A78" s="368" t="s">
        <v>487</v>
      </c>
      <c r="B78" s="307" t="s">
        <v>159</v>
      </c>
      <c r="C78" s="369">
        <v>1500000</v>
      </c>
    </row>
    <row r="79" spans="1:3" ht="18" customHeight="1">
      <c r="A79" s="368" t="s">
        <v>487</v>
      </c>
      <c r="B79" s="307" t="s">
        <v>158</v>
      </c>
      <c r="C79" s="369">
        <v>500000</v>
      </c>
    </row>
    <row r="80" spans="1:3" ht="18" customHeight="1">
      <c r="A80" s="368" t="s">
        <v>487</v>
      </c>
      <c r="B80" s="307" t="s">
        <v>160</v>
      </c>
      <c r="C80" s="369">
        <v>750000</v>
      </c>
    </row>
    <row r="81" spans="1:3" ht="18" customHeight="1">
      <c r="A81" s="368" t="s">
        <v>487</v>
      </c>
      <c r="B81" s="307" t="s">
        <v>161</v>
      </c>
      <c r="C81" s="369">
        <v>1000000</v>
      </c>
    </row>
    <row r="82" spans="1:3" ht="18" customHeight="1">
      <c r="A82" s="368" t="s">
        <v>487</v>
      </c>
      <c r="B82" s="574" t="s">
        <v>185</v>
      </c>
      <c r="C82" s="369">
        <v>250000</v>
      </c>
    </row>
    <row r="83" spans="1:3" ht="18" customHeight="1">
      <c r="A83" s="826" t="s">
        <v>581</v>
      </c>
      <c r="B83" s="826"/>
      <c r="C83" s="375">
        <f>SUM(C76:C82)</f>
        <v>55888087</v>
      </c>
    </row>
    <row r="84" spans="1:3" ht="18" customHeight="1" thickBot="1">
      <c r="A84" s="576"/>
      <c r="B84" s="577"/>
      <c r="C84" s="575"/>
    </row>
    <row r="85" spans="1:3" ht="18" customHeight="1" thickBot="1" thickTop="1">
      <c r="A85" s="827" t="s">
        <v>583</v>
      </c>
      <c r="B85" s="828"/>
      <c r="C85" s="380">
        <f>+C83+C73</f>
        <v>223141771</v>
      </c>
    </row>
    <row r="86" ht="18" customHeight="1" thickTop="1">
      <c r="C86" s="39"/>
    </row>
    <row r="87" ht="18" customHeight="1">
      <c r="C87" s="40"/>
    </row>
    <row r="88" ht="18" customHeight="1">
      <c r="C88" s="39"/>
    </row>
    <row r="89" ht="18" customHeight="1">
      <c r="C89" s="39"/>
    </row>
    <row r="90" spans="2:3" ht="18" customHeight="1">
      <c r="B90" s="43"/>
      <c r="C90" s="43"/>
    </row>
    <row r="91" ht="10.5" customHeight="1">
      <c r="C91" s="39"/>
    </row>
    <row r="92" ht="15.75">
      <c r="C92" s="39"/>
    </row>
    <row r="93" ht="10.5" customHeight="1">
      <c r="C93" s="42"/>
    </row>
    <row r="94" ht="11.25" customHeight="1">
      <c r="C94" s="39"/>
    </row>
    <row r="95" ht="15.75">
      <c r="C95" s="39"/>
    </row>
    <row r="96" ht="15.75">
      <c r="C96" s="39"/>
    </row>
    <row r="97" ht="15.75">
      <c r="C97" s="39"/>
    </row>
  </sheetData>
  <sheetProtection/>
  <mergeCells count="4">
    <mergeCell ref="A83:B83"/>
    <mergeCell ref="A73:B73"/>
    <mergeCell ref="A85:B85"/>
    <mergeCell ref="A3:C3"/>
  </mergeCells>
  <printOptions horizontalCentered="1"/>
  <pageMargins left="0.7874015748031497" right="0.7874015748031497" top="1.1811023622047245" bottom="0.7874015748031497" header="0.3937007874015748" footer="0"/>
  <pageSetup horizontalDpi="600" verticalDpi="600" orientation="portrait" paperSize="9" scale="80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forgacs.andrea</cp:lastModifiedBy>
  <cp:lastPrinted>2021-02-17T15:14:43Z</cp:lastPrinted>
  <dcterms:created xsi:type="dcterms:W3CDTF">2018-02-13T12:36:36Z</dcterms:created>
  <dcterms:modified xsi:type="dcterms:W3CDTF">2021-02-19T08:50:02Z</dcterms:modified>
  <cp:category/>
  <cp:version/>
  <cp:contentType/>
  <cp:contentStatus/>
</cp:coreProperties>
</file>